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95" windowWidth="11580" windowHeight="36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<sst xmlns="http://schemas.openxmlformats.org/spreadsheetml/2006/main" count="166" uniqueCount="119">
  <si>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</si>
  <si>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</si>
  <si>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</si>
  <si>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</si>
  <si>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</si>
  <si>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</si>
  <si>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</si>
  <si>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</si>
  <si>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</si>
  <si>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</si>
  <si>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</si>
  <si>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</si>
  <si>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</si>
  <si>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</si>
  <si>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</si>
  <si>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</si>
  <si>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</si>
  <si>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</si>
  <si>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</si>
  <si>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</si>
  <si>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</si>
  <si>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</si>
  <si>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</si>
  <si>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</si>
  <si>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</si>
  <si>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</si>
  <si>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</si>
  <si>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</si>
  <si>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</si>
  <si>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</si>
  <si>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</si>
  <si>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</si>
  <si>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</si>
  <si>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</si>
  <si>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</si>
  <si>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</si>
  <si>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</si>
  <si>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</si>
  <si>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</si>
  <si>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</si>
  <si>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</si>
  <si>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</si>
  <si>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</si>
  <si>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</si>
  <si>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</si>
  <si>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</si>
  <si>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</si>
  <si>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</si>
  <si>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</si>
  <si>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</si>
  <si>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</si>
  <si>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</si>
  <si>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</si>
  <si>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</si>
  <si>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</si>
  <si>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</si>
  <si>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</si>
  <si>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</si>
  <si>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</si>
  <si>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</si>
  <si>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</si>
  <si>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</si>
  <si>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</si>
  <si>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</si>
  <si>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</si>
  <si>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</si>
  <si>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</si>
  <si>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</si>
  <si>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</si>
  <si>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</si>
  <si>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</si>
  <si>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</si>
  <si>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</si>
  <si>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</si>
  <si>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</si>
  <si>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</si>
  <si>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</si>
  <si>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</si>
  <si>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</si>
  <si>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</si>
  <si>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</si>
  <si>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</si>
  <si>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</si>
  <si>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</si>
  <si>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</si>
  <si>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</si>
  <si>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</si>
  <si>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</si>
  <si>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</si>
  <si>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</si>
  <si>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</si>
  <si>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</si>
  <si>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</si>
  <si>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</si>
  <si>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</si>
  <si>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</si>
  <si>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</si>
  <si>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</si>
  <si>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</si>
  <si>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</si>
  <si>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</si>
  <si>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</si>
  <si>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</si>
  <si>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Реверсна дотація</t>
  </si>
  <si>
    <t>План на рік, тис.грн.</t>
  </si>
  <si>
    <t>Відсоток виконання річного плану</t>
  </si>
  <si>
    <t>Відхилення від річного плану, тис.грн.</t>
  </si>
  <si>
    <t>в т.ч. за рахунок освітньої субвенції</t>
  </si>
  <si>
    <t>в т.ч. за рахунок медичної субвенції</t>
  </si>
  <si>
    <t>Дорожній фонд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</si>
  <si>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</si>
  <si>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</si>
  <si>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</si>
  <si>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Субвенція державному бьюджету на виконання програм соціально-економічного та культурного розвитку регіонів</t>
  </si>
  <si>
    <t>План на 7 місяців, тис.грн.</t>
  </si>
  <si>
    <t>Відсоток виконання плану 7 місяців</t>
  </si>
  <si>
    <t>Відхилення від плану 7 місяців, тис.грн.</t>
  </si>
  <si>
    <t>Природоохоронні заходи</t>
  </si>
  <si>
    <t>Аналіз використання коштів міського бюджету за 2015 рік станом на 08.07.2015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</si>
</sst>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44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5" fillId="0" borderId="10" xfId="0" applyNumberFormat="1" applyFont="1" applyFill="1" applyBorder="1" applyAlignment="1">
      <alignment/>
    </xf>
    <xf numFmtId="173" fontId="1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24" borderId="14" xfId="0" applyNumberFormat="1" applyFont="1" applyFill="1" applyBorder="1" applyAlignment="1">
      <alignment/>
    </xf>
    <xf numFmtId="173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3" fillId="0" borderId="22" xfId="0" applyNumberFormat="1" applyFont="1" applyFill="1" applyBorder="1" applyAlignment="1">
      <alignment/>
    </xf>
    <xf numFmtId="173" fontId="4" fillId="24" borderId="17" xfId="0" applyNumberFormat="1" applyFont="1" applyFill="1" applyBorder="1" applyAlignment="1">
      <alignment/>
    </xf>
    <xf numFmtId="173" fontId="4" fillId="24" borderId="23" xfId="0" applyNumberFormat="1" applyFont="1" applyFill="1" applyBorder="1" applyAlignment="1">
      <alignment/>
    </xf>
    <xf numFmtId="174" fontId="5" fillId="24" borderId="20" xfId="0" applyNumberFormat="1" applyFont="1" applyFill="1" applyBorder="1" applyAlignment="1">
      <alignment wrapText="1"/>
    </xf>
    <xf numFmtId="174" fontId="4" fillId="24" borderId="23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4" xfId="0" applyNumberFormat="1" applyFont="1" applyFill="1" applyBorder="1" applyAlignment="1">
      <alignment horizontal="right"/>
    </xf>
    <xf numFmtId="174" fontId="3" fillId="0" borderId="25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6" xfId="0" applyNumberFormat="1" applyFont="1" applyFill="1" applyBorder="1" applyAlignment="1">
      <alignment/>
    </xf>
    <xf numFmtId="173" fontId="3" fillId="0" borderId="24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48744.1</c:v>
                </c:pt>
                <c:pt idx="1">
                  <c:v>39638</c:v>
                </c:pt>
                <c:pt idx="2">
                  <c:v>2575.1</c:v>
                </c:pt>
                <c:pt idx="3">
                  <c:v>6530.999999999998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20897.999999999993</c:v>
                </c:pt>
                <c:pt idx="1">
                  <c:v>17683.5</c:v>
                </c:pt>
                <c:pt idx="2">
                  <c:v>943.8</c:v>
                </c:pt>
                <c:pt idx="3">
                  <c:v>2270.6999999999925</c:v>
                </c:pt>
              </c:numCache>
            </c:numRef>
          </c:val>
          <c:shape val="box"/>
        </c:ser>
        <c:shape val="box"/>
        <c:axId val="19253353"/>
        <c:axId val="39062450"/>
      </c:bar3DChart>
      <c:catAx>
        <c:axId val="19253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062450"/>
        <c:crosses val="autoZero"/>
        <c:auto val="1"/>
        <c:lblOffset val="100"/>
        <c:tickLblSkip val="1"/>
        <c:noMultiLvlLbl val="0"/>
      </c:catAx>
      <c:valAx>
        <c:axId val="390624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5335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339510.69999999995</c:v>
                </c:pt>
                <c:pt idx="1">
                  <c:v>173936.4</c:v>
                </c:pt>
                <c:pt idx="2">
                  <c:v>251964.7</c:v>
                </c:pt>
                <c:pt idx="3">
                  <c:v>45.2</c:v>
                </c:pt>
                <c:pt idx="4">
                  <c:v>22109.6</c:v>
                </c:pt>
                <c:pt idx="5">
                  <c:v>61405.899999999994</c:v>
                </c:pt>
                <c:pt idx="6">
                  <c:v>286.2</c:v>
                </c:pt>
                <c:pt idx="7">
                  <c:v>3699.099999999952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173765.10000000003</c:v>
                </c:pt>
                <c:pt idx="1">
                  <c:v>90814.79999999999</c:v>
                </c:pt>
                <c:pt idx="2">
                  <c:v>128292.5</c:v>
                </c:pt>
                <c:pt idx="3">
                  <c:v>4</c:v>
                </c:pt>
                <c:pt idx="4">
                  <c:v>8640.699999999999</c:v>
                </c:pt>
                <c:pt idx="5">
                  <c:v>34860.700000000004</c:v>
                </c:pt>
                <c:pt idx="6">
                  <c:v>168.7</c:v>
                </c:pt>
                <c:pt idx="7">
                  <c:v>1798.5000000000334</c:v>
                </c:pt>
              </c:numCache>
            </c:numRef>
          </c:val>
          <c:shape val="box"/>
        </c:ser>
        <c:shape val="box"/>
        <c:axId val="16017731"/>
        <c:axId val="9941852"/>
      </c:bar3DChart>
      <c:catAx>
        <c:axId val="16017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941852"/>
        <c:crosses val="autoZero"/>
        <c:auto val="1"/>
        <c:lblOffset val="100"/>
        <c:tickLblSkip val="1"/>
        <c:noMultiLvlLbl val="0"/>
      </c:catAx>
      <c:valAx>
        <c:axId val="99418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01773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226686.80000000002</c:v>
                </c:pt>
                <c:pt idx="1">
                  <c:v>186519.2</c:v>
                </c:pt>
                <c:pt idx="2">
                  <c:v>169195.9</c:v>
                </c:pt>
                <c:pt idx="3">
                  <c:v>12491.1</c:v>
                </c:pt>
                <c:pt idx="4">
                  <c:v>3253.3</c:v>
                </c:pt>
                <c:pt idx="5">
                  <c:v>25194.2</c:v>
                </c:pt>
                <c:pt idx="6">
                  <c:v>1528.1</c:v>
                </c:pt>
                <c:pt idx="7">
                  <c:v>15024.20000000002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99524.49999999997</c:v>
                </c:pt>
                <c:pt idx="1">
                  <c:v>88390.20000000003</c:v>
                </c:pt>
                <c:pt idx="2">
                  <c:v>75590.49999999997</c:v>
                </c:pt>
                <c:pt idx="3">
                  <c:v>3608.0999999999995</c:v>
                </c:pt>
                <c:pt idx="4">
                  <c:v>1418</c:v>
                </c:pt>
                <c:pt idx="5">
                  <c:v>12447.1</c:v>
                </c:pt>
                <c:pt idx="6">
                  <c:v>666.8</c:v>
                </c:pt>
                <c:pt idx="7">
                  <c:v>5794.000000000001</c:v>
                </c:pt>
              </c:numCache>
            </c:numRef>
          </c:val>
          <c:shape val="box"/>
        </c:ser>
        <c:shape val="box"/>
        <c:axId val="22367805"/>
        <c:axId val="67092518"/>
      </c:bar3DChart>
      <c:catAx>
        <c:axId val="22367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7092518"/>
        <c:crosses val="autoZero"/>
        <c:auto val="1"/>
        <c:lblOffset val="100"/>
        <c:tickLblSkip val="1"/>
        <c:noMultiLvlLbl val="0"/>
      </c:catAx>
      <c:valAx>
        <c:axId val="670925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6780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42246.299999999996</c:v>
                </c:pt>
                <c:pt idx="1">
                  <c:v>29626.4</c:v>
                </c:pt>
                <c:pt idx="2">
                  <c:v>2674</c:v>
                </c:pt>
                <c:pt idx="3">
                  <c:v>515.5</c:v>
                </c:pt>
                <c:pt idx="4">
                  <c:v>47.2</c:v>
                </c:pt>
                <c:pt idx="5">
                  <c:v>9383.199999999993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22350.199999999993</c:v>
                </c:pt>
                <c:pt idx="1">
                  <c:v>16232.400000000001</c:v>
                </c:pt>
                <c:pt idx="2">
                  <c:v>1235.3000000000002</c:v>
                </c:pt>
                <c:pt idx="3">
                  <c:v>269.5</c:v>
                </c:pt>
                <c:pt idx="4">
                  <c:v>17</c:v>
                </c:pt>
                <c:pt idx="5">
                  <c:v>4595.999999999992</c:v>
                </c:pt>
              </c:numCache>
            </c:numRef>
          </c:val>
          <c:shape val="box"/>
        </c:ser>
        <c:shape val="box"/>
        <c:axId val="66961751"/>
        <c:axId val="65784848"/>
      </c:bar3DChart>
      <c:catAx>
        <c:axId val="66961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784848"/>
        <c:crosses val="autoZero"/>
        <c:auto val="1"/>
        <c:lblOffset val="100"/>
        <c:tickLblSkip val="1"/>
        <c:noMultiLvlLbl val="0"/>
      </c:catAx>
      <c:valAx>
        <c:axId val="657848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96175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1375"/>
          <c:y val="0.0292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14207.7</c:v>
                </c:pt>
                <c:pt idx="1">
                  <c:v>8729.1</c:v>
                </c:pt>
                <c:pt idx="2">
                  <c:v>10.9</c:v>
                </c:pt>
                <c:pt idx="3">
                  <c:v>263.7</c:v>
                </c:pt>
                <c:pt idx="4">
                  <c:v>710.5</c:v>
                </c:pt>
                <c:pt idx="5">
                  <c:v>4493.500000000001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6100.2</c:v>
                </c:pt>
                <c:pt idx="1">
                  <c:v>3777.7999999999997</c:v>
                </c:pt>
                <c:pt idx="3">
                  <c:v>88.7</c:v>
                </c:pt>
                <c:pt idx="4">
                  <c:v>390.10000000000014</c:v>
                </c:pt>
                <c:pt idx="5">
                  <c:v>1843.6</c:v>
                </c:pt>
              </c:numCache>
            </c:numRef>
          </c:val>
          <c:shape val="box"/>
        </c:ser>
        <c:shape val="box"/>
        <c:axId val="55192721"/>
        <c:axId val="26972442"/>
      </c:bar3DChart>
      <c:catAx>
        <c:axId val="55192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972442"/>
        <c:crosses val="autoZero"/>
        <c:auto val="1"/>
        <c:lblOffset val="100"/>
        <c:tickLblSkip val="2"/>
        <c:noMultiLvlLbl val="0"/>
      </c:catAx>
      <c:valAx>
        <c:axId val="269724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19272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6"/>
                <c:pt idx="0">
                  <c:v>5525</c:v>
                </c:pt>
                <c:pt idx="1">
                  <c:v>1426.1</c:v>
                </c:pt>
                <c:pt idx="2">
                  <c:v>299.9</c:v>
                </c:pt>
                <c:pt idx="3">
                  <c:v>464.8</c:v>
                </c:pt>
                <c:pt idx="4">
                  <c:v>3128.9</c:v>
                </c:pt>
                <c:pt idx="5">
                  <c:v>205.2999999999994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6"/>
                <c:pt idx="0">
                  <c:v>893.2999999999997</c:v>
                </c:pt>
                <c:pt idx="1">
                  <c:v>608.9</c:v>
                </c:pt>
                <c:pt idx="3">
                  <c:v>232.00000000000003</c:v>
                </c:pt>
                <c:pt idx="5">
                  <c:v>52.39999999999972</c:v>
                </c:pt>
              </c:numCache>
            </c:numRef>
          </c:val>
          <c:shape val="box"/>
        </c:ser>
        <c:shape val="box"/>
        <c:axId val="41425387"/>
        <c:axId val="37284164"/>
      </c:bar3DChart>
      <c:catAx>
        <c:axId val="41425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284164"/>
        <c:crosses val="autoZero"/>
        <c:auto val="1"/>
        <c:lblOffset val="100"/>
        <c:tickLblSkip val="1"/>
        <c:noMultiLvlLbl val="0"/>
      </c:catAx>
      <c:valAx>
        <c:axId val="372841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42538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50114.3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25912.300000000003</c:v>
                </c:pt>
              </c:numCache>
            </c:numRef>
          </c:val>
          <c:shape val="box"/>
        </c:ser>
        <c:shape val="box"/>
        <c:axId val="13157"/>
        <c:axId val="118414"/>
      </c:bar3DChart>
      <c:catAx>
        <c:axId val="13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18414"/>
        <c:crosses val="autoZero"/>
        <c:auto val="1"/>
        <c:lblOffset val="100"/>
        <c:tickLblSkip val="1"/>
        <c:noMultiLvlLbl val="0"/>
      </c:catAx>
      <c:valAx>
        <c:axId val="1184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15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339510.69999999995</c:v>
                </c:pt>
                <c:pt idx="1">
                  <c:v>226686.80000000002</c:v>
                </c:pt>
                <c:pt idx="2">
                  <c:v>42246.299999999996</c:v>
                </c:pt>
                <c:pt idx="3">
                  <c:v>14207.7</c:v>
                </c:pt>
                <c:pt idx="4">
                  <c:v>5525</c:v>
                </c:pt>
                <c:pt idx="5">
                  <c:v>48744.1</c:v>
                </c:pt>
                <c:pt idx="6">
                  <c:v>50114.3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173765.10000000003</c:v>
                </c:pt>
                <c:pt idx="1">
                  <c:v>99524.49999999997</c:v>
                </c:pt>
                <c:pt idx="2">
                  <c:v>22350.199999999993</c:v>
                </c:pt>
                <c:pt idx="3">
                  <c:v>6100.2</c:v>
                </c:pt>
                <c:pt idx="4">
                  <c:v>893.2999999999997</c:v>
                </c:pt>
                <c:pt idx="5">
                  <c:v>20897.999999999993</c:v>
                </c:pt>
                <c:pt idx="6">
                  <c:v>25912.300000000003</c:v>
                </c:pt>
              </c:numCache>
            </c:numRef>
          </c:val>
          <c:shape val="box"/>
        </c:ser>
        <c:shape val="box"/>
        <c:axId val="1065727"/>
        <c:axId val="9591544"/>
      </c:bar3DChart>
      <c:catAx>
        <c:axId val="1065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591544"/>
        <c:crosses val="autoZero"/>
        <c:auto val="1"/>
        <c:lblOffset val="100"/>
        <c:tickLblSkip val="1"/>
        <c:noMultiLvlLbl val="0"/>
      </c:catAx>
      <c:valAx>
        <c:axId val="95915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6572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фінансування'!$A$145:$A$150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фінансування'!$C$145:$C$150</c:f>
              <c:numCache>
                <c:ptCount val="6"/>
                <c:pt idx="0">
                  <c:v>507335.6</c:v>
                </c:pt>
                <c:pt idx="1">
                  <c:v>99330.7</c:v>
                </c:pt>
                <c:pt idx="2">
                  <c:v>25986.7</c:v>
                </c:pt>
                <c:pt idx="3">
                  <c:v>14593.8</c:v>
                </c:pt>
                <c:pt idx="4">
                  <c:v>12618.400000000001</c:v>
                </c:pt>
                <c:pt idx="5">
                  <c:v>236317.4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фінансування'!$A$145:$A$150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фінансування'!$D$145:$D$150</c:f>
              <c:numCache>
                <c:ptCount val="6"/>
                <c:pt idx="0">
                  <c:v>245211.49999999994</c:v>
                </c:pt>
                <c:pt idx="1">
                  <c:v>52758.3</c:v>
                </c:pt>
                <c:pt idx="2">
                  <c:v>10173.6</c:v>
                </c:pt>
                <c:pt idx="3">
                  <c:v>3291</c:v>
                </c:pt>
                <c:pt idx="4">
                  <c:v>3612.3999999999996</c:v>
                </c:pt>
                <c:pt idx="5">
                  <c:v>106928.20000000006</c:v>
                </c:pt>
              </c:numCache>
            </c:numRef>
          </c:val>
          <c:shape val="box"/>
        </c:ser>
        <c:shape val="box"/>
        <c:axId val="19215033"/>
        <c:axId val="38717570"/>
      </c:bar3DChart>
      <c:catAx>
        <c:axId val="192150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717570"/>
        <c:crosses val="autoZero"/>
        <c:auto val="1"/>
        <c:lblOffset val="100"/>
        <c:tickLblSkip val="1"/>
        <c:noMultiLvlLbl val="0"/>
      </c:catAx>
      <c:valAx>
        <c:axId val="387175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1503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0"/>
  <sheetViews>
    <sheetView tabSelected="1" view="pageBreakPreview" zoomScale="80" zoomScaleNormal="75" zoomScaleSheetLayoutView="80" zoomScalePageLayoutView="0" workbookViewId="0" topLeftCell="A1">
      <pane xSplit="1" ySplit="5" topLeftCell="B5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93" sqref="D93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7" t="s">
        <v>118</v>
      </c>
      <c r="B1" s="137"/>
      <c r="C1" s="137"/>
      <c r="D1" s="137"/>
      <c r="E1" s="137"/>
      <c r="F1" s="137"/>
      <c r="G1" s="137"/>
      <c r="H1" s="137"/>
      <c r="I1" s="137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41" t="s">
        <v>50</v>
      </c>
      <c r="B3" s="138" t="s">
        <v>114</v>
      </c>
      <c r="C3" s="138" t="s">
        <v>104</v>
      </c>
      <c r="D3" s="138" t="s">
        <v>29</v>
      </c>
      <c r="E3" s="138" t="s">
        <v>28</v>
      </c>
      <c r="F3" s="138" t="s">
        <v>115</v>
      </c>
      <c r="G3" s="138" t="s">
        <v>105</v>
      </c>
      <c r="H3" s="138" t="s">
        <v>116</v>
      </c>
      <c r="I3" s="138" t="s">
        <v>106</v>
      </c>
    </row>
    <row r="4" spans="1:9" ht="24.75" customHeight="1">
      <c r="A4" s="142"/>
      <c r="B4" s="139"/>
      <c r="C4" s="139"/>
      <c r="D4" s="139"/>
      <c r="E4" s="139"/>
      <c r="F4" s="139"/>
      <c r="G4" s="139"/>
      <c r="H4" s="139"/>
      <c r="I4" s="139"/>
    </row>
    <row r="5" spans="1:9" ht="39" customHeight="1" thickBot="1">
      <c r="A5" s="143"/>
      <c r="B5" s="140"/>
      <c r="C5" s="140"/>
      <c r="D5" s="140"/>
      <c r="E5" s="140"/>
      <c r="F5" s="140"/>
      <c r="G5" s="140"/>
      <c r="H5" s="140"/>
      <c r="I5" s="140"/>
    </row>
    <row r="6" spans="1:9" ht="18.75" thickBot="1">
      <c r="A6" s="28" t="s">
        <v>34</v>
      </c>
      <c r="B6" s="52">
        <v>217874.6</v>
      </c>
      <c r="C6" s="53">
        <f>336144.8+1363.8+2002.1+0.9</f>
        <v>339511.6</v>
      </c>
      <c r="D6" s="54">
        <f>3778.8+318.6+74.4+4544.7+5310.3+2.2+304.5+4240.2+102.2+2722+99+59+395.4+13.7+14.4+157.5+8732.6+280+12.7+55.8+291.9+43.3+10050.8+2416.1+355.4+689.6+5369.4+293+783.8+2363.8+0.2+8052.3+0.2+852.1+1727.8+670.8+0.6+11747.2+0.3+345.5+79.8-0.1+2467+0.6+330.2+1438.4+323.4+315.3+5183.3+6538.6+70.4+205+130.5+310.3+559.6+5382.7+4525.2+12.4+3769.5+1-0.1+5.9+339.2+0.1+3386.2+7026.7+4343+0.6+1045.6+0.1+609.9+9052+17.5+1332.2+4258.6+40.1+4321+579.2+518.5+9249.7+47.3+341.4+2.2+16104.8+119.7+426.9+66+1232.3+8.9+383.3+2.7+383.3+4785.6+9304.6+67.1+0.1+674.2+5158.9+1833.1</f>
        <v>195983.60000000006</v>
      </c>
      <c r="E6" s="3">
        <f>D6/D144*100</f>
        <v>41.591641587566976</v>
      </c>
      <c r="F6" s="3">
        <f>D6/B6*100</f>
        <v>89.95247725067541</v>
      </c>
      <c r="G6" s="3">
        <f aca="true" t="shared" si="0" ref="G6:G43">D6/C6*100</f>
        <v>57.72515578260068</v>
      </c>
      <c r="H6" s="3">
        <f>B6-D6</f>
        <v>21890.99999999994</v>
      </c>
      <c r="I6" s="3">
        <f aca="true" t="shared" si="1" ref="I6:I43">C6-D6</f>
        <v>143527.9999999999</v>
      </c>
    </row>
    <row r="7" spans="1:9" s="44" customFormat="1" ht="18.75">
      <c r="A7" s="118" t="s">
        <v>107</v>
      </c>
      <c r="B7" s="109">
        <v>112520.5</v>
      </c>
      <c r="C7" s="106">
        <v>173936.4</v>
      </c>
      <c r="D7" s="119">
        <f>17278.1+34.8+43.3+5046.6+1441.7+293+463.5+4876.3+308.3+631.3+5138.7+0.1+2292.2+271.4+1820.7+4384.3+517.1+3867.2+3165+1+5.9+6161.5+1598.7+8.6+1158.9+4225.2+4271.2+0.1+579.2+45.1+9037.1+10567.7+116.2+1162.3+1.2+1.3+4453.4+100.1+9.8+5157.8+1660.3</f>
        <v>102196.2</v>
      </c>
      <c r="E7" s="107">
        <f>D7/D6*100</f>
        <v>52.14528154396591</v>
      </c>
      <c r="F7" s="107">
        <f>D7/B7*100</f>
        <v>90.82451642145209</v>
      </c>
      <c r="G7" s="107">
        <f>D7/C7*100</f>
        <v>58.75492421367811</v>
      </c>
      <c r="H7" s="107">
        <f>B7-D7</f>
        <v>10324.300000000003</v>
      </c>
      <c r="I7" s="107">
        <f t="shared" si="1"/>
        <v>71740.2</v>
      </c>
    </row>
    <row r="8" spans="1:9" ht="18">
      <c r="A8" s="29" t="s">
        <v>3</v>
      </c>
      <c r="B8" s="49">
        <v>159121.9</v>
      </c>
      <c r="C8" s="50">
        <v>251964.7</v>
      </c>
      <c r="D8" s="51">
        <f>2656.8+4544.7+5310.3+304.5+4240.2+2115.7+0.5+13.7+8260.2+9928.8+1441.7+7980.3+10682.7+0.1+0.1+1665.8+5183.3+3109.4+5382+3940+3165+1+0.1+5.9+3224.2+3872.8+9043.5+102.7+4158.8+4271.2-0.1+579.2+6936.6+16104.8+66+373.9+4553.9+9196.1+673.9+5157.8</f>
        <v>148248.09999999998</v>
      </c>
      <c r="E8" s="1">
        <f>D8/D6*100</f>
        <v>75.64311503615605</v>
      </c>
      <c r="F8" s="1">
        <f>D8/B8*100</f>
        <v>93.16637119089201</v>
      </c>
      <c r="G8" s="1">
        <f t="shared" si="0"/>
        <v>58.83685294011421</v>
      </c>
      <c r="H8" s="1">
        <f>B8-D8</f>
        <v>10873.800000000017</v>
      </c>
      <c r="I8" s="1">
        <f t="shared" si="1"/>
        <v>103716.60000000003</v>
      </c>
    </row>
    <row r="9" spans="1:9" ht="18">
      <c r="A9" s="29" t="s">
        <v>2</v>
      </c>
      <c r="B9" s="49">
        <v>25.2</v>
      </c>
      <c r="C9" s="50">
        <v>45.2</v>
      </c>
      <c r="D9" s="51">
        <f>0.3+0.2+0.7+0.8+2+0.3+3.5</f>
        <v>7.8</v>
      </c>
      <c r="E9" s="12">
        <f>D9/D6*100</f>
        <v>0.003979924850854866</v>
      </c>
      <c r="F9" s="136">
        <f>D9/B9*100</f>
        <v>30.952380952380953</v>
      </c>
      <c r="G9" s="1">
        <f t="shared" si="0"/>
        <v>17.25663716814159</v>
      </c>
      <c r="H9" s="1">
        <f aca="true" t="shared" si="2" ref="H9:H43">B9-D9</f>
        <v>17.4</v>
      </c>
      <c r="I9" s="1">
        <f t="shared" si="1"/>
        <v>37.400000000000006</v>
      </c>
    </row>
    <row r="10" spans="1:9" ht="18">
      <c r="A10" s="29" t="s">
        <v>1</v>
      </c>
      <c r="B10" s="49">
        <v>12083.7</v>
      </c>
      <c r="C10" s="50">
        <f>21498.1+611.5</f>
        <v>22109.6</v>
      </c>
      <c r="D10" s="55">
        <f>391.1+295.4+72.7+84.3+268.2+68.6+39+308.5+154.7+328.1+203.3+53.9+39.8+25.1+104.1+11.5+21.9+15+581+50.5+202+8.2+203.8+151.8+67.9+1.5+569.8+330.2+151+135.8+235.2+212.7+53.7+201.8+117.5+280.9+330+0.7+0.8+12.4+3.8+318.9+131.5+305.3+2.4+210.7+11.1+54.8+282+126.7+29.4+276.4+116.2+159.5+227.6+20.7+33.6+3.8+33+0.1+977.3</f>
        <v>9709.199999999999</v>
      </c>
      <c r="E10" s="1">
        <f>D10/D6*100</f>
        <v>4.954087995117957</v>
      </c>
      <c r="F10" s="1">
        <f aca="true" t="shared" si="3" ref="F10:F41">D10/B10*100</f>
        <v>80.34956180640035</v>
      </c>
      <c r="G10" s="1">
        <f t="shared" si="0"/>
        <v>43.913955928646374</v>
      </c>
      <c r="H10" s="1">
        <f t="shared" si="2"/>
        <v>2374.500000000002</v>
      </c>
      <c r="I10" s="1">
        <f t="shared" si="1"/>
        <v>12400.4</v>
      </c>
    </row>
    <row r="11" spans="1:9" ht="18">
      <c r="A11" s="29" t="s">
        <v>0</v>
      </c>
      <c r="B11" s="49">
        <v>43504.8</v>
      </c>
      <c r="C11" s="50">
        <f>59404.7+2001.2</f>
        <v>61405.899999999994</v>
      </c>
      <c r="D11" s="56">
        <f>710.3+17.9+0.2+17+333.3+17.1+16+76.8+12.9+141.2+71+247.3+17.2+2.5+2414.8+355.4+677.9+3904.9+275.6+783.8+1761.8+627.5+1607.1+421.9+578.4+120.9-0.2+227.1+1199.6+183.7+71.5+3136.7+0.2+15.2+176.3+559.5+581.7+0.1+2.7+22.2+7026.1+156.2+1027.8+374+8.6+1096.7+88.7+43.1+3.4+212.2+2141.9+39.3+0.3+253.5+970.4+308.9+159+64+10.3+0.1+0.3+821.8</f>
        <v>36193.60000000001</v>
      </c>
      <c r="E11" s="1">
        <f>D11/D6*100</f>
        <v>18.467667702807784</v>
      </c>
      <c r="F11" s="1">
        <f t="shared" si="3"/>
        <v>83.19449807837299</v>
      </c>
      <c r="G11" s="1">
        <f t="shared" si="0"/>
        <v>58.9415675040998</v>
      </c>
      <c r="H11" s="1">
        <f t="shared" si="2"/>
        <v>7311.19999999999</v>
      </c>
      <c r="I11" s="1">
        <f t="shared" si="1"/>
        <v>25212.29999999998</v>
      </c>
    </row>
    <row r="12" spans="1:9" ht="18">
      <c r="A12" s="29" t="s">
        <v>15</v>
      </c>
      <c r="B12" s="49">
        <v>246.2</v>
      </c>
      <c r="C12" s="50">
        <f>286.2+9.9</f>
        <v>296.09999999999997</v>
      </c>
      <c r="D12" s="51">
        <f>3.8+3.8+12.7+7.4+5+16.3+3.8+110.9+3.8+1.2+5.4</f>
        <v>174.1</v>
      </c>
      <c r="E12" s="1">
        <f>D12/D6*100</f>
        <v>0.0888339636581836</v>
      </c>
      <c r="F12" s="1">
        <f t="shared" si="3"/>
        <v>70.71486596263202</v>
      </c>
      <c r="G12" s="1">
        <f t="shared" si="0"/>
        <v>58.79770347855455</v>
      </c>
      <c r="H12" s="1">
        <f t="shared" si="2"/>
        <v>72.1</v>
      </c>
      <c r="I12" s="1">
        <f t="shared" si="1"/>
        <v>121.99999999999997</v>
      </c>
    </row>
    <row r="13" spans="1:9" ht="18.75" thickBot="1">
      <c r="A13" s="29" t="s">
        <v>35</v>
      </c>
      <c r="B13" s="50">
        <f>B6-B8-B9-B10-B11-B12</f>
        <v>2892.8000000000147</v>
      </c>
      <c r="C13" s="50">
        <f>C6-C8-C9-C10-C11-C12</f>
        <v>3690.0999999999754</v>
      </c>
      <c r="D13" s="50">
        <f>D6-D8-D9-D10-D11-D12</f>
        <v>1650.8000000000743</v>
      </c>
      <c r="E13" s="1">
        <f>D13/D6*100</f>
        <v>0.8423153774091677</v>
      </c>
      <c r="F13" s="1">
        <f t="shared" si="3"/>
        <v>57.06581858407307</v>
      </c>
      <c r="G13" s="1">
        <f t="shared" si="0"/>
        <v>44.73591501585554</v>
      </c>
      <c r="H13" s="1">
        <f t="shared" si="2"/>
        <v>1241.9999999999404</v>
      </c>
      <c r="I13" s="1">
        <f t="shared" si="1"/>
        <v>2039.299999999901</v>
      </c>
    </row>
    <row r="14" spans="1:9" s="44" customFormat="1" ht="18.75" customHeight="1" hidden="1">
      <c r="A14" s="108" t="s">
        <v>82</v>
      </c>
      <c r="B14" s="106"/>
      <c r="C14" s="106"/>
      <c r="D14" s="106"/>
      <c r="E14" s="107"/>
      <c r="F14" s="107" t="e">
        <f>D14/B14*100</f>
        <v>#DIV/0!</v>
      </c>
      <c r="G14" s="107" t="e">
        <f>D14/C14*100</f>
        <v>#DIV/0!</v>
      </c>
      <c r="H14" s="107">
        <f>B14-D14</f>
        <v>0</v>
      </c>
      <c r="I14" s="107">
        <f>C14-D14</f>
        <v>0</v>
      </c>
    </row>
    <row r="15" spans="1:9" s="44" customFormat="1" ht="18.75" customHeight="1" hidden="1">
      <c r="A15" s="108" t="s">
        <v>79</v>
      </c>
      <c r="B15" s="106"/>
      <c r="C15" s="106"/>
      <c r="D15" s="106"/>
      <c r="E15" s="107"/>
      <c r="F15" s="107" t="e">
        <f>D15/B15*100</f>
        <v>#DIV/0!</v>
      </c>
      <c r="G15" s="107" t="e">
        <f>D15/C15*100</f>
        <v>#DIV/0!</v>
      </c>
      <c r="H15" s="107">
        <f>B15-D15</f>
        <v>0</v>
      </c>
      <c r="I15" s="107">
        <f>C15-D15</f>
        <v>0</v>
      </c>
    </row>
    <row r="16" spans="1:9" s="44" customFormat="1" ht="19.5" hidden="1" thickBot="1">
      <c r="A16" s="108" t="s">
        <v>80</v>
      </c>
      <c r="B16" s="106"/>
      <c r="C16" s="106"/>
      <c r="D16" s="106"/>
      <c r="E16" s="107"/>
      <c r="F16" s="107" t="e">
        <f>D16/B16*100</f>
        <v>#DIV/0!</v>
      </c>
      <c r="G16" s="107" t="e">
        <f>D16/C16*100</f>
        <v>#DIV/0!</v>
      </c>
      <c r="H16" s="107">
        <f>B16-D16</f>
        <v>0</v>
      </c>
      <c r="I16" s="107">
        <f>C16-D16</f>
        <v>0</v>
      </c>
    </row>
    <row r="17" spans="1:9" s="44" customFormat="1" ht="19.5" hidden="1" thickBot="1">
      <c r="A17" s="108" t="s">
        <v>81</v>
      </c>
      <c r="B17" s="106"/>
      <c r="C17" s="106"/>
      <c r="D17" s="106"/>
      <c r="E17" s="107"/>
      <c r="F17" s="107" t="e">
        <f>D17/B17*100</f>
        <v>#DIV/0!</v>
      </c>
      <c r="G17" s="107" t="e">
        <f>D17/C17*100</f>
        <v>#DIV/0!</v>
      </c>
      <c r="H17" s="107">
        <f>B17-D17</f>
        <v>0</v>
      </c>
      <c r="I17" s="107">
        <f>C17-D17</f>
        <v>0</v>
      </c>
    </row>
    <row r="18" spans="1:9" ht="18.75" thickBot="1">
      <c r="A18" s="28" t="s">
        <v>23</v>
      </c>
      <c r="B18" s="52">
        <v>129823.9</v>
      </c>
      <c r="C18" s="53">
        <f>225678.2+490.7+518-0.1</f>
        <v>226686.80000000002</v>
      </c>
      <c r="D18" s="54">
        <f>5164.3+574.5+4623.4+2805.2+358.8+626.5+552.8+632.3+5118.8+101.4+166.3+0.1+1058.1+4.5+4222.3+101.4+4273.5+934.6+5187.7+0.2+1536.8+16+1026+471.5+1411.4+11.3+2729.9+4996.6+194.4+3533.4+1472.3+168.5+4832.7+371+3934.8+898.3+352.5+1.4+4521.6+104.4+2151.7+5168.3+224.2+9+433.5+67.9+6957.4+1608.8+2-0.1+6271+1.3+492.7+1.2+5795.8+1113.4+135+3.9+372.9+7829.2+859.7+16.3+3282.7+134.9-0.6</f>
        <v>112023.59999999995</v>
      </c>
      <c r="E18" s="3">
        <f>D18/D144*100</f>
        <v>23.77364953265969</v>
      </c>
      <c r="F18" s="3">
        <f>D18/B18*100</f>
        <v>86.2888882555523</v>
      </c>
      <c r="G18" s="3">
        <f t="shared" si="0"/>
        <v>49.41778700833041</v>
      </c>
      <c r="H18" s="3">
        <f>B18-D18</f>
        <v>17800.300000000047</v>
      </c>
      <c r="I18" s="3">
        <f t="shared" si="1"/>
        <v>114663.20000000007</v>
      </c>
    </row>
    <row r="19" spans="1:9" s="44" customFormat="1" ht="18.75">
      <c r="A19" s="118" t="s">
        <v>108</v>
      </c>
      <c r="B19" s="109">
        <v>115998.8</v>
      </c>
      <c r="C19" s="106">
        <v>186519.2</v>
      </c>
      <c r="D19" s="119">
        <f>20724.4+1058.1+4.5+4107.3+4273.5+909.7+5187.7+0.2+1026+1411.4+1.1+2729.9+0.1+4996.6+194.4+3533.4+1472.3+168.5+4832.7+355.2+3934.8+898.3+346.7+1.4+2032.6+5166.1+215.6+8.9+280.6+67.9+6901.6+1571.1-0.1+2551.6+0.1+462.5+1.2+5789.6+1050.1+122.6+3.9+372.9+7820.2+857.3+16.3+3282.7+134.9+0.1</f>
        <v>100878.50000000001</v>
      </c>
      <c r="E19" s="107">
        <f>D19/D18*100</f>
        <v>90.05111422950169</v>
      </c>
      <c r="F19" s="107">
        <f t="shared" si="3"/>
        <v>86.96512377714252</v>
      </c>
      <c r="G19" s="107">
        <f t="shared" si="0"/>
        <v>54.08478054806154</v>
      </c>
      <c r="H19" s="107">
        <f t="shared" si="2"/>
        <v>15120.299999999988</v>
      </c>
      <c r="I19" s="107">
        <f t="shared" si="1"/>
        <v>85640.7</v>
      </c>
    </row>
    <row r="20" spans="1:9" ht="18">
      <c r="A20" s="29" t="s">
        <v>5</v>
      </c>
      <c r="B20" s="49">
        <v>98993</v>
      </c>
      <c r="C20" s="50">
        <v>169195.9</v>
      </c>
      <c r="D20" s="51">
        <f>5164.3+574.5+4352.6-225.6+2461.2+632.3+5026.9+4104.6-0.1+3875.3+3989.4+855.4+280+4996.6+192.6+3533.4+437.2+168.1+4832.7+3683.6+898.2+0.2+194.2+4252.2+32.7+5166.1+5891.5+37.7+4672.2+35.4+5475.1+7818.4+36.9+3282.7</f>
        <v>86728.49999999996</v>
      </c>
      <c r="E20" s="1">
        <f>D20/D18*100</f>
        <v>77.41984724647307</v>
      </c>
      <c r="F20" s="1">
        <f t="shared" si="3"/>
        <v>87.61074015334414</v>
      </c>
      <c r="G20" s="1">
        <f t="shared" si="0"/>
        <v>51.25922082036265</v>
      </c>
      <c r="H20" s="1">
        <f t="shared" si="2"/>
        <v>12264.500000000044</v>
      </c>
      <c r="I20" s="1">
        <f t="shared" si="1"/>
        <v>82467.40000000004</v>
      </c>
    </row>
    <row r="21" spans="1:9" ht="18">
      <c r="A21" s="29" t="s">
        <v>2</v>
      </c>
      <c r="B21" s="49">
        <v>6770</v>
      </c>
      <c r="C21" s="50">
        <f>12491.1+200.3</f>
        <v>12691.4</v>
      </c>
      <c r="D21" s="51">
        <f>11+1.8+42.7+3+47.6+40.1+0.7+2.5+101.4-0.1+82.5+53+0.2+1536.8+83.2+0.7+12.8+1.8+77.1+0.2+37.6+299.6+50.4+17.9+245.6+224.3+1.2+312.9+1.2+314.9+3.5+3.6+128.9+182.5+0.1+23.5</f>
        <v>3946.6999999999994</v>
      </c>
      <c r="E21" s="1">
        <f>D21/D18*100</f>
        <v>3.523096918863526</v>
      </c>
      <c r="F21" s="1">
        <f t="shared" si="3"/>
        <v>58.29689807976366</v>
      </c>
      <c r="G21" s="1">
        <f t="shared" si="0"/>
        <v>31.097436059063615</v>
      </c>
      <c r="H21" s="1">
        <f t="shared" si="2"/>
        <v>2823.3000000000006</v>
      </c>
      <c r="I21" s="1">
        <f t="shared" si="1"/>
        <v>8744.7</v>
      </c>
    </row>
    <row r="22" spans="1:9" ht="18">
      <c r="A22" s="29" t="s">
        <v>1</v>
      </c>
      <c r="B22" s="49">
        <v>1872.6</v>
      </c>
      <c r="C22" s="50">
        <v>3253.3</v>
      </c>
      <c r="D22" s="51">
        <f>173.9+19+7.6+19.5+89.8+0.1+92.4+48.6+202.1+56.1+96.9+242.1+36.1+19.2+171.7+0.1+22.2+39+81.6+82+84.2+0.1</f>
        <v>1584.3</v>
      </c>
      <c r="E22" s="1">
        <f>D22/D18*100</f>
        <v>1.4142555675768327</v>
      </c>
      <c r="F22" s="1">
        <f t="shared" si="3"/>
        <v>84.60429349567447</v>
      </c>
      <c r="G22" s="1">
        <f t="shared" si="0"/>
        <v>48.69824485906618</v>
      </c>
      <c r="H22" s="1">
        <f t="shared" si="2"/>
        <v>288.29999999999995</v>
      </c>
      <c r="I22" s="1">
        <f t="shared" si="1"/>
        <v>1669.0000000000002</v>
      </c>
    </row>
    <row r="23" spans="1:9" ht="18">
      <c r="A23" s="29" t="s">
        <v>0</v>
      </c>
      <c r="B23" s="49">
        <v>13596.3</v>
      </c>
      <c r="C23" s="50">
        <f>24676.2+518</f>
        <v>25194.2</v>
      </c>
      <c r="D23" s="51">
        <f>96.9+173.9+611.9+463.4+109.9+698.9+114.7+0.2+702.4+1027.2+819.6+1945.5+240.6+329.9+0.1+104.4+1287.1+2.2+0.5+9+338.9+138.1+1558.4-0.2+1154.7+105.4+0.9+293.6+119+115+9.1+124.5+51.3</f>
        <v>12747</v>
      </c>
      <c r="E23" s="1">
        <f>D23/D18*100</f>
        <v>11.378852313262568</v>
      </c>
      <c r="F23" s="1">
        <f t="shared" si="3"/>
        <v>93.7534476291344</v>
      </c>
      <c r="G23" s="1">
        <f t="shared" si="0"/>
        <v>50.594978209270394</v>
      </c>
      <c r="H23" s="1">
        <f t="shared" si="2"/>
        <v>849.2999999999993</v>
      </c>
      <c r="I23" s="1">
        <f t="shared" si="1"/>
        <v>12447.2</v>
      </c>
    </row>
    <row r="24" spans="1:9" ht="18">
      <c r="A24" s="29" t="s">
        <v>15</v>
      </c>
      <c r="B24" s="49">
        <v>831.9</v>
      </c>
      <c r="C24" s="50">
        <v>1528.1</v>
      </c>
      <c r="D24" s="51">
        <f>111+58.1+166.1+55.7+24.9+10.1-0.1+89.8+44.2+0.1+106.9</f>
        <v>666.8</v>
      </c>
      <c r="E24" s="1">
        <f>D24/D18*100</f>
        <v>0.5952317190306331</v>
      </c>
      <c r="F24" s="1">
        <f t="shared" si="3"/>
        <v>80.15386464719317</v>
      </c>
      <c r="G24" s="1">
        <f t="shared" si="0"/>
        <v>43.63588770368431</v>
      </c>
      <c r="H24" s="1">
        <f t="shared" si="2"/>
        <v>165.10000000000002</v>
      </c>
      <c r="I24" s="1">
        <f t="shared" si="1"/>
        <v>861.3</v>
      </c>
    </row>
    <row r="25" spans="1:9" ht="18.75" thickBot="1">
      <c r="A25" s="29" t="s">
        <v>35</v>
      </c>
      <c r="B25" s="50">
        <f>B18-B20-B21-B22-B23-B24</f>
        <v>7760.099999999997</v>
      </c>
      <c r="C25" s="50">
        <f>C18-C20-C21-C22-C23-C24</f>
        <v>14823.900000000018</v>
      </c>
      <c r="D25" s="50">
        <f>D18-D20-D21-D22-D23-D24</f>
        <v>6350.299999999991</v>
      </c>
      <c r="E25" s="1">
        <f>D25/D18*100</f>
        <v>5.6687162347933775</v>
      </c>
      <c r="F25" s="1">
        <f t="shared" si="3"/>
        <v>81.83270834138727</v>
      </c>
      <c r="G25" s="1">
        <f t="shared" si="0"/>
        <v>42.838254440464276</v>
      </c>
      <c r="H25" s="1">
        <f t="shared" si="2"/>
        <v>1409.8000000000056</v>
      </c>
      <c r="I25" s="1">
        <f t="shared" si="1"/>
        <v>8473.600000000028</v>
      </c>
    </row>
    <row r="26" spans="1:9" ht="57" hidden="1" thickBot="1">
      <c r="A26" s="108" t="s">
        <v>90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6.75" customHeight="1" hidden="1">
      <c r="A27" s="108" t="s">
        <v>91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19.5" hidden="1" thickBot="1">
      <c r="A28" s="108" t="s">
        <v>92</v>
      </c>
      <c r="B28" s="50"/>
      <c r="C28" s="50"/>
      <c r="D28" s="50"/>
      <c r="E28" s="1"/>
      <c r="F28" s="1" t="e">
        <f t="shared" si="3"/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9.75" customHeight="1" hidden="1">
      <c r="A29" s="108" t="s">
        <v>93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37.5" customHeight="1" hidden="1">
      <c r="A30" s="108" t="s">
        <v>94</v>
      </c>
      <c r="B30" s="50"/>
      <c r="C30" s="50"/>
      <c r="D30" s="50"/>
      <c r="E30" s="1"/>
      <c r="F30" s="1" t="e">
        <f>D30/B30*100</f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36" customHeight="1" hidden="1">
      <c r="A31" s="108" t="s">
        <v>95</v>
      </c>
      <c r="B31" s="50"/>
      <c r="C31" s="50"/>
      <c r="D31" s="50"/>
      <c r="E31" s="1"/>
      <c r="F31" s="1" t="e">
        <f t="shared" si="3"/>
        <v>#DIV/0!</v>
      </c>
      <c r="G31" s="1" t="e">
        <f t="shared" si="0"/>
        <v>#DIV/0!</v>
      </c>
      <c r="H31" s="1">
        <f t="shared" si="2"/>
        <v>0</v>
      </c>
      <c r="I31" s="1">
        <f t="shared" si="1"/>
        <v>0</v>
      </c>
    </row>
    <row r="32" spans="1:9" ht="19.5" hidden="1" thickBot="1">
      <c r="A32" s="108" t="s">
        <v>96</v>
      </c>
      <c r="B32" s="50"/>
      <c r="C32" s="50"/>
      <c r="D32" s="50"/>
      <c r="E32" s="1"/>
      <c r="F32" s="1" t="e">
        <f t="shared" si="3"/>
        <v>#DIV/0!</v>
      </c>
      <c r="G32" s="1" t="e">
        <f t="shared" si="0"/>
        <v>#DIV/0!</v>
      </c>
      <c r="H32" s="1">
        <f t="shared" si="2"/>
        <v>0</v>
      </c>
      <c r="I32" s="1">
        <f t="shared" si="1"/>
        <v>0</v>
      </c>
    </row>
    <row r="33" spans="1:9" ht="18.75" thickBot="1">
      <c r="A33" s="28" t="s">
        <v>18</v>
      </c>
      <c r="B33" s="52">
        <v>27185.8</v>
      </c>
      <c r="C33" s="53">
        <f>41831.7+164.1+250.5+5</f>
        <v>42251.299999999996</v>
      </c>
      <c r="D33" s="57">
        <f>1251.6+285.2+60+12.3+10.8+1064.6+3.2+0.1-0.1+22.2+396.9+163.2+73.2+1267+3.8+36.5+85.5+1249.9+29.3+7.7+421.4+118.5+23.8+204.6+104.2+1392.3+65.1+49.1+0.4+84.2+34+40.6+94.4+1266.4+1.8+93.6+2.6+158.7-0.1+300+102.9+181.8+11.7+1194.3+144+112.5+25.4+0.8+5.5+57.9+125.2+1.2+1246+17.6+42.6+0.8+389.9+113.4+1225.3+70.3+0.3+50+117.8+123+8.5+1422.9+53.8+21.2+0.1+333.3+161+2+4175.2+25.1+56.5+1.5+62.9+119.5+68+2.1+36.5+1937.1+1.5+226.9+420.9</f>
        <v>24975.199999999993</v>
      </c>
      <c r="E33" s="3">
        <f>D33/D144*100</f>
        <v>5.300237198305379</v>
      </c>
      <c r="F33" s="3">
        <f>D33/B33*100</f>
        <v>91.86854902191584</v>
      </c>
      <c r="G33" s="3">
        <f t="shared" si="0"/>
        <v>59.111080605803835</v>
      </c>
      <c r="H33" s="3">
        <f t="shared" si="2"/>
        <v>2210.600000000006</v>
      </c>
      <c r="I33" s="3">
        <f t="shared" si="1"/>
        <v>17276.100000000002</v>
      </c>
    </row>
    <row r="34" spans="1:9" ht="18">
      <c r="A34" s="29" t="s">
        <v>3</v>
      </c>
      <c r="B34" s="49">
        <v>19374.1</v>
      </c>
      <c r="C34" s="50">
        <v>29626.4</v>
      </c>
      <c r="D34" s="51">
        <f>1216.2+1064.6-0.1+1185.2+1240.8+0.1+1202.8+1206.8+1191.1+1224.7+5.8+1196.2+1414.6+52.8+4003.5+27.3+1811.7+0.1+103.5</f>
        <v>18147.7</v>
      </c>
      <c r="E34" s="1">
        <f>D34/D33*100</f>
        <v>72.66288157852591</v>
      </c>
      <c r="F34" s="1">
        <f t="shared" si="3"/>
        <v>93.66989950500928</v>
      </c>
      <c r="G34" s="1">
        <f t="shared" si="0"/>
        <v>61.255164312910104</v>
      </c>
      <c r="H34" s="1">
        <f t="shared" si="2"/>
        <v>1226.3999999999978</v>
      </c>
      <c r="I34" s="1">
        <f t="shared" si="1"/>
        <v>11478.7</v>
      </c>
    </row>
    <row r="35" spans="1:9" ht="18" hidden="1">
      <c r="A35" s="29" t="s">
        <v>1</v>
      </c>
      <c r="B35" s="49"/>
      <c r="C35" s="50"/>
      <c r="D35" s="51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1">
        <f t="shared" si="2"/>
        <v>0</v>
      </c>
      <c r="I35" s="1">
        <f t="shared" si="1"/>
        <v>0</v>
      </c>
    </row>
    <row r="36" spans="1:9" ht="18">
      <c r="A36" s="29" t="s">
        <v>0</v>
      </c>
      <c r="B36" s="49">
        <v>1632.6</v>
      </c>
      <c r="C36" s="50">
        <f>2423.5+250.5</f>
        <v>2674</v>
      </c>
      <c r="D36" s="51">
        <f>6.5+2.8+10.2+0.8+23.6+67.7+80.5+1.3+36.1+6.9+3.3+7.6-0.1+154.9+32.2+23.8+2.3+86.1+23.3+3.4+0.7+1.8+4.8+6+11.6+1.8+11.8+146.5+0.1+108.8+11.7+126.6+38.9+18.4+2.1+20+16.9+1.2+11.9+10.2+1.9+0.2+21+12.1+42.3+0.3+5.6+0.6+7.9+5.6+4.3-0.1+1.9+4+0.1+0.2+2.4+5.5+0.5+1.5+0.1+0.1+2.3</f>
        <v>1245.3</v>
      </c>
      <c r="E36" s="1">
        <f>D36/D33*100</f>
        <v>4.986146257087031</v>
      </c>
      <c r="F36" s="1">
        <f t="shared" si="3"/>
        <v>76.27710400588019</v>
      </c>
      <c r="G36" s="1">
        <f t="shared" si="0"/>
        <v>46.57068062827225</v>
      </c>
      <c r="H36" s="1">
        <f t="shared" si="2"/>
        <v>387.29999999999995</v>
      </c>
      <c r="I36" s="1">
        <f t="shared" si="1"/>
        <v>1428.7</v>
      </c>
    </row>
    <row r="37" spans="1:9" s="44" customFormat="1" ht="18.75">
      <c r="A37" s="23" t="s">
        <v>7</v>
      </c>
      <c r="B37" s="58">
        <v>392.9</v>
      </c>
      <c r="C37" s="59">
        <f>493.5+22</f>
        <v>515.5</v>
      </c>
      <c r="D37" s="60">
        <f>19+12.3+0.1+11.9+3.2+10.7+22.4+14.8+37.3+30.8+8.3+7.2+2+25.1+13.4+51+75.3+5</f>
        <v>349.8</v>
      </c>
      <c r="E37" s="19">
        <f>D37/D33*100</f>
        <v>1.4005893846695927</v>
      </c>
      <c r="F37" s="19">
        <f t="shared" si="3"/>
        <v>89.03028760498856</v>
      </c>
      <c r="G37" s="19">
        <f t="shared" si="0"/>
        <v>67.85645004849661</v>
      </c>
      <c r="H37" s="19">
        <f t="shared" si="2"/>
        <v>43.099999999999966</v>
      </c>
      <c r="I37" s="19">
        <f t="shared" si="1"/>
        <v>165.7</v>
      </c>
    </row>
    <row r="38" spans="1:9" ht="18">
      <c r="A38" s="29" t="s">
        <v>15</v>
      </c>
      <c r="B38" s="49">
        <v>37</v>
      </c>
      <c r="C38" s="50">
        <v>47.2</v>
      </c>
      <c r="D38" s="50">
        <f>3.4+3.4+3.4+3.4+3.4</f>
        <v>17</v>
      </c>
      <c r="E38" s="1">
        <f>D38/D33*100</f>
        <v>0.06806752298279896</v>
      </c>
      <c r="F38" s="1">
        <f t="shared" si="3"/>
        <v>45.94594594594595</v>
      </c>
      <c r="G38" s="1">
        <f t="shared" si="0"/>
        <v>36.016949152542374</v>
      </c>
      <c r="H38" s="1">
        <f t="shared" si="2"/>
        <v>20</v>
      </c>
      <c r="I38" s="1">
        <f t="shared" si="1"/>
        <v>30.200000000000003</v>
      </c>
    </row>
    <row r="39" spans="1:9" ht="18.75" thickBot="1">
      <c r="A39" s="29" t="s">
        <v>35</v>
      </c>
      <c r="B39" s="49">
        <f>B33-B34-B36-B37-B35-B38</f>
        <v>5749.200000000001</v>
      </c>
      <c r="C39" s="49">
        <f>C33-C34-C36-C37-C35-C38</f>
        <v>9388.199999999993</v>
      </c>
      <c r="D39" s="49">
        <f>D33-D34-D36-D37-D35-D38</f>
        <v>5215.399999999992</v>
      </c>
      <c r="E39" s="1">
        <f>D39/D33*100</f>
        <v>20.882315256734657</v>
      </c>
      <c r="F39" s="1">
        <f t="shared" si="3"/>
        <v>90.71522994503569</v>
      </c>
      <c r="G39" s="1">
        <f t="shared" si="0"/>
        <v>55.55271511045776</v>
      </c>
      <c r="H39" s="1">
        <f>B39-D39</f>
        <v>533.8000000000084</v>
      </c>
      <c r="I39" s="1">
        <f t="shared" si="1"/>
        <v>4172.800000000001</v>
      </c>
    </row>
    <row r="40" spans="1:9" ht="19.5" hidden="1" thickBot="1">
      <c r="A40" s="108" t="s">
        <v>87</v>
      </c>
      <c r="B40" s="109"/>
      <c r="C40" s="109"/>
      <c r="D40" s="109"/>
      <c r="E40" s="107"/>
      <c r="F40" s="107" t="e">
        <f t="shared" si="3"/>
        <v>#DIV/0!</v>
      </c>
      <c r="G40" s="107" t="e">
        <f t="shared" si="0"/>
        <v>#DIV/0!</v>
      </c>
      <c r="H40" s="107">
        <f>B40-D40</f>
        <v>0</v>
      </c>
      <c r="I40" s="107">
        <f t="shared" si="1"/>
        <v>0</v>
      </c>
    </row>
    <row r="41" spans="1:9" ht="19.5" hidden="1" thickBot="1">
      <c r="A41" s="108" t="s">
        <v>88</v>
      </c>
      <c r="B41" s="109"/>
      <c r="C41" s="109"/>
      <c r="D41" s="109"/>
      <c r="E41" s="107"/>
      <c r="F41" s="107" t="e">
        <f t="shared" si="3"/>
        <v>#DIV/0!</v>
      </c>
      <c r="G41" s="107" t="e">
        <f t="shared" si="0"/>
        <v>#DIV/0!</v>
      </c>
      <c r="H41" s="107">
        <f>B41-D41</f>
        <v>0</v>
      </c>
      <c r="I41" s="107">
        <f t="shared" si="1"/>
        <v>0</v>
      </c>
    </row>
    <row r="42" spans="1:9" ht="19.5" hidden="1" thickBot="1">
      <c r="A42" s="108" t="s">
        <v>89</v>
      </c>
      <c r="B42" s="109"/>
      <c r="C42" s="109"/>
      <c r="D42" s="109"/>
      <c r="E42" s="107"/>
      <c r="F42" s="107"/>
      <c r="G42" s="107" t="e">
        <f t="shared" si="0"/>
        <v>#DIV/0!</v>
      </c>
      <c r="H42" s="107">
        <f>B42-D42</f>
        <v>0</v>
      </c>
      <c r="I42" s="107">
        <f t="shared" si="1"/>
        <v>0</v>
      </c>
    </row>
    <row r="43" spans="1:9" ht="19.5" thickBot="1">
      <c r="A43" s="14" t="s">
        <v>17</v>
      </c>
      <c r="B43" s="110">
        <v>495</v>
      </c>
      <c r="C43" s="53">
        <f>768.4+32.5+15+3</f>
        <v>818.9</v>
      </c>
      <c r="D43" s="54">
        <f>17.7+12.2+11.2+51.1+0.8+30+0.1+18.9+27.3+43.7+9+5.4+5.6+7.8+24.4+6.4-0.1+26.1+70.2+6+6+27.3+26.1</f>
        <v>433.2</v>
      </c>
      <c r="E43" s="3">
        <f>D43/D144*100</f>
        <v>0.09193370841097932</v>
      </c>
      <c r="F43" s="3">
        <f>D43/B43*100</f>
        <v>87.51515151515152</v>
      </c>
      <c r="G43" s="3">
        <f t="shared" si="0"/>
        <v>52.90023201856149</v>
      </c>
      <c r="H43" s="3">
        <f t="shared" si="2"/>
        <v>61.80000000000001</v>
      </c>
      <c r="I43" s="3">
        <f t="shared" si="1"/>
        <v>385.7</v>
      </c>
    </row>
    <row r="44" spans="1:9" ht="12" customHeight="1" thickBot="1">
      <c r="A44" s="31"/>
      <c r="B44" s="62"/>
      <c r="C44" s="63"/>
      <c r="D44" s="64"/>
      <c r="E44" s="7"/>
      <c r="F44" s="7"/>
      <c r="G44" s="7"/>
      <c r="H44" s="7"/>
      <c r="I44" s="7"/>
    </row>
    <row r="45" spans="1:9" ht="18.75" thickBot="1">
      <c r="A45" s="28" t="s">
        <v>55</v>
      </c>
      <c r="B45" s="52">
        <f>3930.5-2.4</f>
        <v>3928.1</v>
      </c>
      <c r="C45" s="53">
        <f>6659.3+87.1+1.5</f>
        <v>6747.900000000001</v>
      </c>
      <c r="D45" s="54">
        <f>193+223+8.7+101.1+200.9+9+241+299.2+7.6+43.6+283.1+0.8+48.7+276.1+3.4+2.2+253.5+5+282+1.9+4.8+3.2+261.3+0.5+265.1+0.7+6.9+276.6+1.6</f>
        <v>3304.4999999999995</v>
      </c>
      <c r="E45" s="3">
        <f>D45/D144*100</f>
        <v>0.7012810236474634</v>
      </c>
      <c r="F45" s="3">
        <f>D45/B45*100</f>
        <v>84.12464041139481</v>
      </c>
      <c r="G45" s="3">
        <f aca="true" t="shared" si="4" ref="G45:G75">D45/C45*100</f>
        <v>48.9707909127284</v>
      </c>
      <c r="H45" s="3">
        <f>B45-D45</f>
        <v>623.6000000000004</v>
      </c>
      <c r="I45" s="3">
        <f aca="true" t="shared" si="5" ref="I45:I76">C45-D45</f>
        <v>3443.400000000001</v>
      </c>
    </row>
    <row r="46" spans="1:9" ht="18">
      <c r="A46" s="29" t="s">
        <v>3</v>
      </c>
      <c r="B46" s="49">
        <v>3326.8</v>
      </c>
      <c r="C46" s="50">
        <v>5755.9</v>
      </c>
      <c r="D46" s="51">
        <f>193+222.7+1.6+196.4+240.9+0.1+199.7+265.9+214+253.1+238.6+255.9+243.9+273.5</f>
        <v>2799.3</v>
      </c>
      <c r="E46" s="1">
        <f>D46/D45*100</f>
        <v>84.71175669541536</v>
      </c>
      <c r="F46" s="1">
        <f aca="true" t="shared" si="6" ref="F46:F73">D46/B46*100</f>
        <v>84.14392208729109</v>
      </c>
      <c r="G46" s="1">
        <f t="shared" si="4"/>
        <v>48.6335759829045</v>
      </c>
      <c r="H46" s="1">
        <f aca="true" t="shared" si="7" ref="H46:H73">B46-D46</f>
        <v>527.5</v>
      </c>
      <c r="I46" s="1">
        <f t="shared" si="5"/>
        <v>2956.5999999999995</v>
      </c>
    </row>
    <row r="47" spans="1:9" ht="18">
      <c r="A47" s="29" t="s">
        <v>2</v>
      </c>
      <c r="B47" s="49">
        <v>0.7</v>
      </c>
      <c r="C47" s="50">
        <v>1.2</v>
      </c>
      <c r="D47" s="51">
        <f>0.3</f>
        <v>0.3</v>
      </c>
      <c r="E47" s="1">
        <f>D47/D45*100</f>
        <v>0.009078529278256923</v>
      </c>
      <c r="F47" s="1">
        <f t="shared" si="6"/>
        <v>42.85714285714286</v>
      </c>
      <c r="G47" s="1">
        <f t="shared" si="4"/>
        <v>25</v>
      </c>
      <c r="H47" s="1">
        <f t="shared" si="7"/>
        <v>0.39999999999999997</v>
      </c>
      <c r="I47" s="1">
        <f t="shared" si="5"/>
        <v>0.8999999999999999</v>
      </c>
    </row>
    <row r="48" spans="1:9" ht="18">
      <c r="A48" s="29" t="s">
        <v>1</v>
      </c>
      <c r="B48" s="49">
        <v>37.6</v>
      </c>
      <c r="C48" s="50">
        <v>60.2</v>
      </c>
      <c r="D48" s="51">
        <f>3.8+1+5.7-0.1+1.3+4.1-0.1+4.6+1.1+4.8</f>
        <v>26.200000000000003</v>
      </c>
      <c r="E48" s="1">
        <f>D48/D45*100</f>
        <v>0.7928582236344381</v>
      </c>
      <c r="F48" s="1">
        <f t="shared" si="6"/>
        <v>69.68085106382979</v>
      </c>
      <c r="G48" s="1">
        <f t="shared" si="4"/>
        <v>43.521594684385384</v>
      </c>
      <c r="H48" s="1">
        <f t="shared" si="7"/>
        <v>11.399999999999999</v>
      </c>
      <c r="I48" s="1">
        <f t="shared" si="5"/>
        <v>34</v>
      </c>
    </row>
    <row r="49" spans="1:9" ht="18">
      <c r="A49" s="29" t="s">
        <v>0</v>
      </c>
      <c r="B49" s="49">
        <v>313.4</v>
      </c>
      <c r="C49" s="50">
        <v>538.3</v>
      </c>
      <c r="D49" s="51">
        <f>4.7+90.3+4.8+67.1+3.1+1.1+45.6+36.3+2.7+2+0.1+34.4+3.4+0.5+2.5+1.1</f>
        <v>299.69999999999993</v>
      </c>
      <c r="E49" s="1">
        <f>D49/D45*100</f>
        <v>9.069450748978666</v>
      </c>
      <c r="F49" s="1">
        <f t="shared" si="6"/>
        <v>95.62858966177407</v>
      </c>
      <c r="G49" s="1">
        <f t="shared" si="4"/>
        <v>55.67527401077466</v>
      </c>
      <c r="H49" s="1">
        <f t="shared" si="7"/>
        <v>13.700000000000045</v>
      </c>
      <c r="I49" s="1">
        <f t="shared" si="5"/>
        <v>238.60000000000002</v>
      </c>
    </row>
    <row r="50" spans="1:9" ht="18.75" thickBot="1">
      <c r="A50" s="29" t="s">
        <v>35</v>
      </c>
      <c r="B50" s="50">
        <f>B45-B46-B49-B48-B47</f>
        <v>249.59999999999977</v>
      </c>
      <c r="C50" s="50">
        <f>C45-C46-C49-C48-C47</f>
        <v>392.300000000001</v>
      </c>
      <c r="D50" s="50">
        <f>D45-D46-D49-D48-D47</f>
        <v>178.99999999999943</v>
      </c>
      <c r="E50" s="1">
        <f>D50/D45*100</f>
        <v>5.416855802693281</v>
      </c>
      <c r="F50" s="1">
        <f t="shared" si="6"/>
        <v>71.71474358974342</v>
      </c>
      <c r="G50" s="1">
        <f t="shared" si="4"/>
        <v>45.62834565383609</v>
      </c>
      <c r="H50" s="1">
        <f t="shared" si="7"/>
        <v>70.60000000000034</v>
      </c>
      <c r="I50" s="1">
        <f t="shared" si="5"/>
        <v>213.30000000000155</v>
      </c>
    </row>
    <row r="51" spans="1:9" ht="18.75" thickBot="1">
      <c r="A51" s="28" t="s">
        <v>4</v>
      </c>
      <c r="B51" s="52">
        <v>8761.7</v>
      </c>
      <c r="C51" s="53">
        <f>13881+326.7</f>
        <v>14207.7</v>
      </c>
      <c r="D51" s="54">
        <f>260.4+84.2+35.2+27.7+429.5+47.7+9.2+7.6+47.3+0.3+0.2+338.5+6.8+0.3+85+62.8+1.5+472.7+38.5+0.1+49.4+117.6+311.3+37+71.4+15+489.6+106.2+9.7+10.3+4.5+1.3+36.2+1.3+0.1+7.8+422+397.2+336.3+9+7.3+340.2+125.4+0.6+0.7+104.5+599.5+27.8+16.3-0.1+66.2+423.1+90.3+68.5+866.6+0.1+9.5</f>
        <v>7135.200000000001</v>
      </c>
      <c r="E51" s="3">
        <f>D51/D144*100</f>
        <v>1.514232216652862</v>
      </c>
      <c r="F51" s="3">
        <f>D51/B51*100</f>
        <v>81.43625095586474</v>
      </c>
      <c r="G51" s="3">
        <f t="shared" si="4"/>
        <v>50.220654996938286</v>
      </c>
      <c r="H51" s="3">
        <f>B51-D51</f>
        <v>1626.5</v>
      </c>
      <c r="I51" s="3">
        <f t="shared" si="5"/>
        <v>7072.5</v>
      </c>
    </row>
    <row r="52" spans="1:9" ht="18">
      <c r="A52" s="29" t="s">
        <v>3</v>
      </c>
      <c r="B52" s="49">
        <v>5297.6</v>
      </c>
      <c r="C52" s="50">
        <v>8729.1</v>
      </c>
      <c r="D52" s="51">
        <f>260.4+390.2+0.1+271.7+395.7-0.1+282.9+391.4+0.1+7.8+263.9+397.2+272.6+486-0.1+358+766.6-0.1</f>
        <v>4544.299999999999</v>
      </c>
      <c r="E52" s="1">
        <f>D52/D51*100</f>
        <v>63.68847404417534</v>
      </c>
      <c r="F52" s="1">
        <f t="shared" si="6"/>
        <v>85.78035336756264</v>
      </c>
      <c r="G52" s="1">
        <f t="shared" si="4"/>
        <v>52.05920427077246</v>
      </c>
      <c r="H52" s="1">
        <f t="shared" si="7"/>
        <v>753.3000000000011</v>
      </c>
      <c r="I52" s="1">
        <f t="shared" si="5"/>
        <v>4184.800000000001</v>
      </c>
    </row>
    <row r="53" spans="1:9" ht="18">
      <c r="A53" s="29" t="s">
        <v>2</v>
      </c>
      <c r="B53" s="49">
        <v>0</v>
      </c>
      <c r="C53" s="50">
        <v>10.9</v>
      </c>
      <c r="D53" s="51"/>
      <c r="E53" s="1">
        <f>D53/D51*100</f>
        <v>0</v>
      </c>
      <c r="F53" s="116" t="e">
        <f t="shared" si="6"/>
        <v>#DIV/0!</v>
      </c>
      <c r="G53" s="1">
        <f t="shared" si="4"/>
        <v>0</v>
      </c>
      <c r="H53" s="1">
        <f t="shared" si="7"/>
        <v>0</v>
      </c>
      <c r="I53" s="1">
        <f t="shared" si="5"/>
        <v>10.9</v>
      </c>
    </row>
    <row r="54" spans="1:9" ht="18">
      <c r="A54" s="29" t="s">
        <v>1</v>
      </c>
      <c r="B54" s="49">
        <v>148.9</v>
      </c>
      <c r="C54" s="50">
        <f>189.7+74</f>
        <v>263.7</v>
      </c>
      <c r="D54" s="51">
        <f>1.7+1.5+4.6+9.7+8-0.1+0.1+5.9+12.1+0.1+17.6+12.8+4+10.7+8.4+14.1</f>
        <v>111.2</v>
      </c>
      <c r="E54" s="1">
        <f>D54/D51*100</f>
        <v>1.5584706805695705</v>
      </c>
      <c r="F54" s="1">
        <f t="shared" si="6"/>
        <v>74.68099395567495</v>
      </c>
      <c r="G54" s="1">
        <f t="shared" si="4"/>
        <v>42.16913158892681</v>
      </c>
      <c r="H54" s="1">
        <f t="shared" si="7"/>
        <v>37.7</v>
      </c>
      <c r="I54" s="1">
        <f t="shared" si="5"/>
        <v>152.5</v>
      </c>
    </row>
    <row r="55" spans="1:9" ht="18">
      <c r="A55" s="29" t="s">
        <v>0</v>
      </c>
      <c r="B55" s="49">
        <v>421.1</v>
      </c>
      <c r="C55" s="50">
        <f>709.9+0.6</f>
        <v>710.5</v>
      </c>
      <c r="D55" s="51">
        <f>1.1+7.6+5.9+0.3+0.2+6.8+0.3+67.1+16.4-0.1+19.5+19.3+76.2+4.5+12.1+86.4+1+0.1+7.3+44.6+0.6+0.7+4.7+3.3+0.6+3.6+2.4+6.1+0.1</f>
        <v>398.70000000000016</v>
      </c>
      <c r="E55" s="1">
        <f>D55/D51*100</f>
        <v>5.587790110998993</v>
      </c>
      <c r="F55" s="1">
        <f t="shared" si="6"/>
        <v>94.68059843267636</v>
      </c>
      <c r="G55" s="1">
        <f t="shared" si="4"/>
        <v>56.11541168191416</v>
      </c>
      <c r="H55" s="1">
        <f t="shared" si="7"/>
        <v>22.399999999999864</v>
      </c>
      <c r="I55" s="1">
        <f t="shared" si="5"/>
        <v>311.79999999999984</v>
      </c>
    </row>
    <row r="56" spans="1:9" ht="18.75" thickBot="1">
      <c r="A56" s="29" t="s">
        <v>35</v>
      </c>
      <c r="B56" s="50">
        <f>B51-B52-B55-B54-B53</f>
        <v>2894.1000000000004</v>
      </c>
      <c r="C56" s="50">
        <f>C51-C52-C55-C54-C53</f>
        <v>4493.500000000001</v>
      </c>
      <c r="D56" s="50">
        <f>D51-D52-D55-D54-D53</f>
        <v>2081.0000000000014</v>
      </c>
      <c r="E56" s="1">
        <f>D56/D51*100</f>
        <v>29.1652651642561</v>
      </c>
      <c r="F56" s="1">
        <f t="shared" si="6"/>
        <v>71.90490998928858</v>
      </c>
      <c r="G56" s="1">
        <f t="shared" si="4"/>
        <v>46.31133860020031</v>
      </c>
      <c r="H56" s="1">
        <f t="shared" si="7"/>
        <v>813.099999999999</v>
      </c>
      <c r="I56" s="1">
        <f>C56-D56</f>
        <v>2412.4999999999995</v>
      </c>
    </row>
    <row r="57" spans="1:9" s="44" customFormat="1" ht="19.5" hidden="1" thickBot="1">
      <c r="A57" s="108" t="s">
        <v>86</v>
      </c>
      <c r="B57" s="106"/>
      <c r="C57" s="106"/>
      <c r="D57" s="106"/>
      <c r="E57" s="1"/>
      <c r="F57" s="107" t="e">
        <f t="shared" si="6"/>
        <v>#DIV/0!</v>
      </c>
      <c r="G57" s="107" t="e">
        <f t="shared" si="4"/>
        <v>#DIV/0!</v>
      </c>
      <c r="H57" s="107">
        <f t="shared" si="7"/>
        <v>0</v>
      </c>
      <c r="I57" s="107">
        <f>C57-D57</f>
        <v>0</v>
      </c>
    </row>
    <row r="58" spans="1:9" ht="18.75" thickBot="1">
      <c r="A58" s="28" t="s">
        <v>6</v>
      </c>
      <c r="B58" s="52">
        <v>3638.6</v>
      </c>
      <c r="C58" s="53">
        <f>3033.3+2447.7+44</f>
        <v>5525</v>
      </c>
      <c r="D58" s="54">
        <f>36.1+65.6+6.5+0.4+1.3+60.3+3+39.2+0.1+14.1+69.1+5.2-0.1+1.8+81+43+6.1+66+42.4+63.1+71.4+46.8+10.3+27.4+2.3+82.5+2.8+0.1+44.9+0.6+7.5+171.3-0.1+367.2</f>
        <v>1439.1999999999998</v>
      </c>
      <c r="E58" s="3">
        <f>D58/D144*100</f>
        <v>0.30542703865438925</v>
      </c>
      <c r="F58" s="3">
        <f>D58/B58*100</f>
        <v>39.55367449018853</v>
      </c>
      <c r="G58" s="3">
        <f t="shared" si="4"/>
        <v>26.048868778280536</v>
      </c>
      <c r="H58" s="3">
        <f>B58-D58</f>
        <v>2199.4</v>
      </c>
      <c r="I58" s="3">
        <f t="shared" si="5"/>
        <v>4085.8</v>
      </c>
    </row>
    <row r="59" spans="1:9" ht="18">
      <c r="A59" s="29" t="s">
        <v>3</v>
      </c>
      <c r="B59" s="49">
        <v>835.7</v>
      </c>
      <c r="C59" s="50">
        <v>1426.1</v>
      </c>
      <c r="D59" s="51">
        <f>36.1+65.6+39.2+69.1+1.8+43+66+41.2+71.4+46.8+1.2+82.5+0.1+44.9+89.3</f>
        <v>698.1999999999999</v>
      </c>
      <c r="E59" s="1">
        <f>D59/D58*100</f>
        <v>48.51306281267371</v>
      </c>
      <c r="F59" s="1">
        <f t="shared" si="6"/>
        <v>83.54672729448366</v>
      </c>
      <c r="G59" s="1">
        <f t="shared" si="4"/>
        <v>48.95869854848888</v>
      </c>
      <c r="H59" s="1">
        <f t="shared" si="7"/>
        <v>137.5000000000001</v>
      </c>
      <c r="I59" s="1">
        <f t="shared" si="5"/>
        <v>727.9</v>
      </c>
    </row>
    <row r="60" spans="1:9" ht="18">
      <c r="A60" s="29" t="s">
        <v>1</v>
      </c>
      <c r="B60" s="49">
        <v>201.1</v>
      </c>
      <c r="C60" s="50">
        <f>299.9</f>
        <v>299.9</v>
      </c>
      <c r="D60" s="51">
        <f>82</f>
        <v>82</v>
      </c>
      <c r="E60" s="1">
        <f>D60/D58*100</f>
        <v>5.697609783212896</v>
      </c>
      <c r="F60" s="1">
        <f>D60/B60*100</f>
        <v>40.77573346593735</v>
      </c>
      <c r="G60" s="1">
        <f t="shared" si="4"/>
        <v>27.342447482494165</v>
      </c>
      <c r="H60" s="1">
        <f t="shared" si="7"/>
        <v>119.1</v>
      </c>
      <c r="I60" s="1">
        <f t="shared" si="5"/>
        <v>217.89999999999998</v>
      </c>
    </row>
    <row r="61" spans="1:9" ht="18">
      <c r="A61" s="29" t="s">
        <v>0</v>
      </c>
      <c r="B61" s="49">
        <v>288.8</v>
      </c>
      <c r="C61" s="50">
        <f>420.8+44</f>
        <v>464.8</v>
      </c>
      <c r="D61" s="51">
        <f>1.3+56.1+4.9+63.5+3.5+0.7+63-0.1+10.3+25.7+2.8+0.3+7.3</f>
        <v>239.30000000000004</v>
      </c>
      <c r="E61" s="1">
        <f>D61/D58*100</f>
        <v>16.627292940522516</v>
      </c>
      <c r="F61" s="1">
        <f t="shared" si="6"/>
        <v>82.8601108033241</v>
      </c>
      <c r="G61" s="1">
        <f t="shared" si="4"/>
        <v>51.48450946643719</v>
      </c>
      <c r="H61" s="1">
        <f t="shared" si="7"/>
        <v>49.49999999999997</v>
      </c>
      <c r="I61" s="1">
        <f t="shared" si="5"/>
        <v>225.49999999999997</v>
      </c>
    </row>
    <row r="62" spans="1:9" ht="18">
      <c r="A62" s="29" t="s">
        <v>15</v>
      </c>
      <c r="B62" s="49">
        <v>2128.9</v>
      </c>
      <c r="C62" s="50">
        <f>728.9+2400</f>
        <v>3128.9</v>
      </c>
      <c r="D62" s="51">
        <f>367.2</f>
        <v>367.2</v>
      </c>
      <c r="E62" s="1">
        <f>D62/D58*100</f>
        <v>25.5141745414119</v>
      </c>
      <c r="F62" s="1">
        <f>D62/B62*100</f>
        <v>17.24834421532247</v>
      </c>
      <c r="G62" s="1">
        <f t="shared" si="4"/>
        <v>11.735753779283453</v>
      </c>
      <c r="H62" s="1">
        <f t="shared" si="7"/>
        <v>1761.7</v>
      </c>
      <c r="I62" s="1">
        <f t="shared" si="5"/>
        <v>2761.7000000000003</v>
      </c>
    </row>
    <row r="63" spans="1:9" ht="18.75" thickBot="1">
      <c r="A63" s="29" t="s">
        <v>35</v>
      </c>
      <c r="B63" s="50">
        <f>B58-B59-B61-B62-B60</f>
        <v>184.09999999999937</v>
      </c>
      <c r="C63" s="50">
        <f>C58-C59-C61-C62-C60</f>
        <v>205.2999999999994</v>
      </c>
      <c r="D63" s="50">
        <f>D58-D59-D61-D62-D60</f>
        <v>52.49999999999983</v>
      </c>
      <c r="E63" s="1">
        <f>D63/D58*100</f>
        <v>3.6478599221789767</v>
      </c>
      <c r="F63" s="1">
        <f t="shared" si="6"/>
        <v>28.5171102661597</v>
      </c>
      <c r="G63" s="1">
        <f t="shared" si="4"/>
        <v>25.57233317096931</v>
      </c>
      <c r="H63" s="1">
        <f t="shared" si="7"/>
        <v>131.59999999999954</v>
      </c>
      <c r="I63" s="1">
        <f t="shared" si="5"/>
        <v>152.79999999999956</v>
      </c>
    </row>
    <row r="64" spans="1:9" s="44" customFormat="1" ht="19.5" hidden="1" thickBot="1">
      <c r="A64" s="108" t="s">
        <v>97</v>
      </c>
      <c r="B64" s="106"/>
      <c r="C64" s="106"/>
      <c r="D64" s="106"/>
      <c r="E64" s="107"/>
      <c r="F64" s="107" t="e">
        <f>D64/B64*100</f>
        <v>#DIV/0!</v>
      </c>
      <c r="G64" s="107" t="e">
        <f>D64/C64*100</f>
        <v>#DIV/0!</v>
      </c>
      <c r="H64" s="107">
        <f t="shared" si="7"/>
        <v>0</v>
      </c>
      <c r="I64" s="107">
        <f t="shared" si="5"/>
        <v>0</v>
      </c>
    </row>
    <row r="65" spans="1:9" s="44" customFormat="1" ht="19.5" hidden="1" thickBot="1">
      <c r="A65" s="108" t="s">
        <v>83</v>
      </c>
      <c r="B65" s="106"/>
      <c r="C65" s="106"/>
      <c r="D65" s="106"/>
      <c r="E65" s="107"/>
      <c r="F65" s="107" t="e">
        <f t="shared" si="6"/>
        <v>#DIV/0!</v>
      </c>
      <c r="G65" s="107" t="e">
        <f t="shared" si="4"/>
        <v>#DIV/0!</v>
      </c>
      <c r="H65" s="107">
        <f t="shared" si="7"/>
        <v>0</v>
      </c>
      <c r="I65" s="107">
        <f t="shared" si="5"/>
        <v>0</v>
      </c>
    </row>
    <row r="66" spans="1:9" s="44" customFormat="1" ht="19.5" hidden="1" thickBot="1">
      <c r="A66" s="108" t="s">
        <v>84</v>
      </c>
      <c r="B66" s="106"/>
      <c r="C66" s="106"/>
      <c r="D66" s="106"/>
      <c r="E66" s="107"/>
      <c r="F66" s="107" t="e">
        <f t="shared" si="6"/>
        <v>#DIV/0!</v>
      </c>
      <c r="G66" s="107" t="e">
        <f t="shared" si="4"/>
        <v>#DIV/0!</v>
      </c>
      <c r="H66" s="107">
        <f t="shared" si="7"/>
        <v>0</v>
      </c>
      <c r="I66" s="107">
        <f t="shared" si="5"/>
        <v>0</v>
      </c>
    </row>
    <row r="67" spans="1:9" s="44" customFormat="1" ht="19.5" hidden="1" thickBot="1">
      <c r="A67" s="108" t="s">
        <v>85</v>
      </c>
      <c r="B67" s="106"/>
      <c r="C67" s="106"/>
      <c r="D67" s="106"/>
      <c r="E67" s="107"/>
      <c r="F67" s="107" t="e">
        <f t="shared" si="6"/>
        <v>#DIV/0!</v>
      </c>
      <c r="G67" s="107" t="e">
        <f t="shared" si="4"/>
        <v>#DIV/0!</v>
      </c>
      <c r="H67" s="107">
        <f t="shared" si="7"/>
        <v>0</v>
      </c>
      <c r="I67" s="107">
        <f t="shared" si="5"/>
        <v>0</v>
      </c>
    </row>
    <row r="68" spans="1:9" ht="18.75" thickBot="1">
      <c r="A68" s="28" t="s">
        <v>24</v>
      </c>
      <c r="B68" s="53">
        <f>B69+B70</f>
        <v>294.70000000000005</v>
      </c>
      <c r="C68" s="53">
        <f>C69+C70</f>
        <v>416.6</v>
      </c>
      <c r="D68" s="54">
        <f>SUM(D69:D70)</f>
        <v>219.6</v>
      </c>
      <c r="E68" s="42">
        <f>D68/D144*100</f>
        <v>0.046603514236036606</v>
      </c>
      <c r="F68" s="111">
        <f>D68/B68*100</f>
        <v>74.51645741431963</v>
      </c>
      <c r="G68" s="3">
        <f t="shared" si="4"/>
        <v>52.7124339894383</v>
      </c>
      <c r="H68" s="3">
        <f>B68-D68</f>
        <v>75.10000000000005</v>
      </c>
      <c r="I68" s="3">
        <f t="shared" si="5"/>
        <v>197.00000000000003</v>
      </c>
    </row>
    <row r="69" spans="1:9" ht="18">
      <c r="A69" s="29" t="s">
        <v>8</v>
      </c>
      <c r="B69" s="49">
        <v>230.3</v>
      </c>
      <c r="C69" s="50">
        <f>250.3-5</f>
        <v>245.3</v>
      </c>
      <c r="D69" s="51">
        <f>0.2+12.6+73.3+85.8+22+1.3+2.3+2.7+1.6+2.5+7.9-0.2</f>
        <v>212</v>
      </c>
      <c r="E69" s="1">
        <f>D69/D68*100</f>
        <v>96.53916211293262</v>
      </c>
      <c r="F69" s="1">
        <f t="shared" si="6"/>
        <v>92.05384281372123</v>
      </c>
      <c r="G69" s="1">
        <f t="shared" si="4"/>
        <v>86.42478597635548</v>
      </c>
      <c r="H69" s="1">
        <f t="shared" si="7"/>
        <v>18.30000000000001</v>
      </c>
      <c r="I69" s="1">
        <f t="shared" si="5"/>
        <v>33.30000000000001</v>
      </c>
    </row>
    <row r="70" spans="1:9" ht="18.75" thickBot="1">
      <c r="A70" s="29" t="s">
        <v>9</v>
      </c>
      <c r="B70" s="49">
        <v>64.4</v>
      </c>
      <c r="C70" s="50">
        <f>242.8-42.9-28.6</f>
        <v>171.3</v>
      </c>
      <c r="D70" s="51">
        <f>7.4+0.2</f>
        <v>7.6000000000000005</v>
      </c>
      <c r="E70" s="1">
        <f>D70/D69*100</f>
        <v>3.584905660377359</v>
      </c>
      <c r="F70" s="1">
        <f t="shared" si="6"/>
        <v>11.801242236024844</v>
      </c>
      <c r="G70" s="1">
        <f t="shared" si="4"/>
        <v>4.436660828955049</v>
      </c>
      <c r="H70" s="1">
        <f t="shared" si="7"/>
        <v>56.800000000000004</v>
      </c>
      <c r="I70" s="1">
        <f t="shared" si="5"/>
        <v>163.70000000000002</v>
      </c>
    </row>
    <row r="71" spans="1:9" ht="38.25" hidden="1" thickBot="1">
      <c r="A71" s="14" t="s">
        <v>51</v>
      </c>
      <c r="B71" s="61"/>
      <c r="C71" s="53">
        <f>C72+C73+C74+C75</f>
        <v>0</v>
      </c>
      <c r="D71" s="53">
        <f>D72+D73+D74+D75</f>
        <v>0</v>
      </c>
      <c r="E71" s="3">
        <f>D71/D144*100</f>
        <v>0</v>
      </c>
      <c r="F71" s="3" t="e">
        <f>D71/B71*100</f>
        <v>#DIV/0!</v>
      </c>
      <c r="G71" s="3" t="e">
        <f t="shared" si="4"/>
        <v>#DIV/0!</v>
      </c>
      <c r="H71" s="3">
        <f>B71-D71</f>
        <v>0</v>
      </c>
      <c r="I71" s="3">
        <f t="shared" si="5"/>
        <v>0</v>
      </c>
    </row>
    <row r="72" spans="1:9" ht="19.5" hidden="1" thickBot="1">
      <c r="A72" s="23" t="s">
        <v>57</v>
      </c>
      <c r="B72" s="58"/>
      <c r="C72" s="65"/>
      <c r="D72" s="56"/>
      <c r="E72" s="37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1">
        <f t="shared" si="7"/>
        <v>0</v>
      </c>
      <c r="I72" s="1">
        <f t="shared" si="5"/>
        <v>0</v>
      </c>
    </row>
    <row r="73" spans="1:9" ht="19.5" hidden="1" thickBot="1">
      <c r="A73" s="23" t="s">
        <v>58</v>
      </c>
      <c r="B73" s="58"/>
      <c r="C73" s="65"/>
      <c r="D73" s="56"/>
      <c r="E73" s="37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1">
        <f t="shared" si="7"/>
        <v>0</v>
      </c>
      <c r="I73" s="1">
        <f t="shared" si="5"/>
        <v>0</v>
      </c>
    </row>
    <row r="74" spans="1:9" ht="19.5" hidden="1" thickBot="1">
      <c r="A74" s="30" t="s">
        <v>42</v>
      </c>
      <c r="B74" s="66"/>
      <c r="C74" s="67"/>
      <c r="D74" s="68"/>
      <c r="E74" s="37" t="e">
        <f>D74/D71*100</f>
        <v>#DIV/0!</v>
      </c>
      <c r="F74" s="37"/>
      <c r="G74" s="1" t="e">
        <f t="shared" si="4"/>
        <v>#DIV/0!</v>
      </c>
      <c r="H74" s="1"/>
      <c r="I74" s="1">
        <f t="shared" si="5"/>
        <v>0</v>
      </c>
    </row>
    <row r="75" spans="1:9" ht="19.5" hidden="1" thickBot="1">
      <c r="A75" s="30" t="s">
        <v>52</v>
      </c>
      <c r="B75" s="66"/>
      <c r="C75" s="67"/>
      <c r="D75" s="68"/>
      <c r="E75" s="37" t="e">
        <f>D75/D71*100</f>
        <v>#DIV/0!</v>
      </c>
      <c r="F75" s="37"/>
      <c r="G75" s="1" t="e">
        <f t="shared" si="4"/>
        <v>#DIV/0!</v>
      </c>
      <c r="H75" s="1"/>
      <c r="I75" s="1">
        <f t="shared" si="5"/>
        <v>0</v>
      </c>
    </row>
    <row r="76" spans="1:9" s="44" customFormat="1" ht="19.5" thickBot="1">
      <c r="A76" s="31" t="s">
        <v>14</v>
      </c>
      <c r="B76" s="62">
        <v>57.9</v>
      </c>
      <c r="C76" s="69">
        <f>10000-6127.8-2982.3-400</f>
        <v>489.89999999999964</v>
      </c>
      <c r="D76" s="70"/>
      <c r="E76" s="48"/>
      <c r="F76" s="48"/>
      <c r="G76" s="48"/>
      <c r="H76" s="48">
        <f>B76-D76</f>
        <v>57.9</v>
      </c>
      <c r="I76" s="48">
        <f t="shared" si="5"/>
        <v>489.89999999999964</v>
      </c>
    </row>
    <row r="77" spans="1:9" ht="8.25" customHeight="1" thickBot="1">
      <c r="A77" s="23"/>
      <c r="B77" s="58"/>
      <c r="C77" s="67"/>
      <c r="D77" s="68"/>
      <c r="E77" s="6"/>
      <c r="F77" s="6"/>
      <c r="G77" s="6"/>
      <c r="H77" s="6"/>
      <c r="I77" s="13"/>
    </row>
    <row r="78" spans="1:9" ht="18.75" customHeight="1" hidden="1" thickBot="1">
      <c r="A78" s="14" t="s">
        <v>77</v>
      </c>
      <c r="B78" s="61"/>
      <c r="C78" s="53">
        <f>C79+C80</f>
        <v>0</v>
      </c>
      <c r="D78" s="53">
        <f>D79+D80</f>
        <v>0</v>
      </c>
      <c r="E78" s="3">
        <f>D78/D144*100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3">
        <f>B78-D78</f>
        <v>0</v>
      </c>
      <c r="I78" s="3">
        <f aca="true" t="shared" si="9" ref="I78:I92">C78-D78</f>
        <v>0</v>
      </c>
    </row>
    <row r="79" spans="1:9" s="8" customFormat="1" ht="18.75" hidden="1" thickBot="1">
      <c r="A79" s="9" t="s">
        <v>76</v>
      </c>
      <c r="B79" s="71"/>
      <c r="C79" s="50">
        <f>50-50</f>
        <v>0</v>
      </c>
      <c r="D79" s="51"/>
      <c r="E79" s="105"/>
      <c r="F79" s="1" t="e">
        <f>D79/B79*100</f>
        <v>#DIV/0!</v>
      </c>
      <c r="G79" s="1" t="e">
        <f t="shared" si="8"/>
        <v>#DIV/0!</v>
      </c>
      <c r="H79" s="1">
        <f>B79-D79</f>
        <v>0</v>
      </c>
      <c r="I79" s="1">
        <f t="shared" si="9"/>
        <v>0</v>
      </c>
    </row>
    <row r="80" spans="1:9" s="8" customFormat="1" ht="31.5" hidden="1" thickBot="1">
      <c r="A80" s="9" t="s">
        <v>69</v>
      </c>
      <c r="B80" s="71"/>
      <c r="C80" s="50"/>
      <c r="D80" s="51"/>
      <c r="E80" s="105"/>
      <c r="F80" s="1" t="e">
        <f>D80/B80*100</f>
        <v>#DIV/0!</v>
      </c>
      <c r="G80" s="1" t="e">
        <f t="shared" si="8"/>
        <v>#DIV/0!</v>
      </c>
      <c r="H80" s="1">
        <f>B80-D80</f>
        <v>0</v>
      </c>
      <c r="I80" s="1">
        <f t="shared" si="9"/>
        <v>0</v>
      </c>
    </row>
    <row r="81" spans="1:9" s="8" customFormat="1" ht="16.5" customHeight="1" hidden="1">
      <c r="A81" s="9" t="s">
        <v>41</v>
      </c>
      <c r="B81" s="71"/>
      <c r="C81" s="50"/>
      <c r="D81" s="51"/>
      <c r="E81" s="1" t="e">
        <f>D81/D78*100</f>
        <v>#DIV/0!</v>
      </c>
      <c r="F81" s="1"/>
      <c r="G81" s="1" t="e">
        <f t="shared" si="8"/>
        <v>#DIV/0!</v>
      </c>
      <c r="H81" s="1"/>
      <c r="I81" s="1">
        <f t="shared" si="9"/>
        <v>0</v>
      </c>
    </row>
    <row r="82" spans="1:9" s="8" customFormat="1" ht="33" customHeight="1" hidden="1" thickBot="1">
      <c r="A82" s="9" t="s">
        <v>48</v>
      </c>
      <c r="B82" s="71"/>
      <c r="C82" s="50"/>
      <c r="D82" s="50"/>
      <c r="E82" s="1" t="e">
        <f>D82/D78*100</f>
        <v>#DIV/0!</v>
      </c>
      <c r="F82" s="1"/>
      <c r="G82" s="1" t="e">
        <f t="shared" si="8"/>
        <v>#DIV/0!</v>
      </c>
      <c r="H82" s="1"/>
      <c r="I82" s="1">
        <f t="shared" si="9"/>
        <v>0</v>
      </c>
    </row>
    <row r="83" spans="1:9" ht="35.25" customHeight="1" hidden="1" thickBot="1">
      <c r="A83" s="14" t="s">
        <v>43</v>
      </c>
      <c r="B83" s="61"/>
      <c r="C83" s="53">
        <f>C84+C85</f>
        <v>0</v>
      </c>
      <c r="D83" s="53">
        <f>D84+D85</f>
        <v>0</v>
      </c>
      <c r="E83" s="3">
        <f>D83/D144*100</f>
        <v>0</v>
      </c>
      <c r="F83" s="3"/>
      <c r="G83" s="3" t="e">
        <f t="shared" si="8"/>
        <v>#DIV/0!</v>
      </c>
      <c r="H83" s="3"/>
      <c r="I83" s="3">
        <f t="shared" si="9"/>
        <v>0</v>
      </c>
    </row>
    <row r="84" spans="1:9" ht="16.5" customHeight="1" hidden="1">
      <c r="A84" s="29" t="s">
        <v>30</v>
      </c>
      <c r="B84" s="49"/>
      <c r="C84" s="67"/>
      <c r="D84" s="67"/>
      <c r="E84" s="6" t="e">
        <f>D84/D83*100</f>
        <v>#DIV/0!</v>
      </c>
      <c r="F84" s="6"/>
      <c r="G84" s="6" t="e">
        <f t="shared" si="8"/>
        <v>#DIV/0!</v>
      </c>
      <c r="H84" s="6"/>
      <c r="I84" s="1">
        <f t="shared" si="9"/>
        <v>0</v>
      </c>
    </row>
    <row r="85" spans="1:9" ht="16.5" customHeight="1" hidden="1" thickBot="1">
      <c r="A85" s="29" t="s">
        <v>31</v>
      </c>
      <c r="B85" s="49"/>
      <c r="C85" s="67"/>
      <c r="D85" s="67"/>
      <c r="E85" s="6" t="e">
        <f>D85/D83*100</f>
        <v>#DIV/0!</v>
      </c>
      <c r="F85" s="6"/>
      <c r="G85" s="6" t="e">
        <f t="shared" si="8"/>
        <v>#DIV/0!</v>
      </c>
      <c r="H85" s="6"/>
      <c r="I85" s="1">
        <f t="shared" si="9"/>
        <v>0</v>
      </c>
    </row>
    <row r="86" spans="1:9" ht="34.5" customHeight="1" hidden="1" thickBot="1">
      <c r="A86" s="14" t="s">
        <v>44</v>
      </c>
      <c r="B86" s="61"/>
      <c r="C86" s="53">
        <f>SUM(C87:C88)</f>
        <v>0</v>
      </c>
      <c r="D86" s="53">
        <f>SUM(D87:D88)</f>
        <v>0</v>
      </c>
      <c r="E86" s="3">
        <f>D86/D144*100</f>
        <v>0</v>
      </c>
      <c r="F86" s="3"/>
      <c r="G86" s="3" t="e">
        <f t="shared" si="8"/>
        <v>#DIV/0!</v>
      </c>
      <c r="H86" s="3"/>
      <c r="I86" s="3">
        <f t="shared" si="9"/>
        <v>0</v>
      </c>
    </row>
    <row r="87" spans="1:9" ht="17.25" customHeight="1" hidden="1">
      <c r="A87" s="29" t="s">
        <v>30</v>
      </c>
      <c r="B87" s="49"/>
      <c r="C87" s="50"/>
      <c r="D87" s="51"/>
      <c r="E87" s="1" t="e">
        <f>D87/D86*100</f>
        <v>#DIV/0!</v>
      </c>
      <c r="F87" s="1"/>
      <c r="G87" s="1" t="e">
        <f t="shared" si="8"/>
        <v>#DIV/0!</v>
      </c>
      <c r="H87" s="1"/>
      <c r="I87" s="1">
        <f t="shared" si="9"/>
        <v>0</v>
      </c>
    </row>
    <row r="88" spans="1:9" ht="17.25" customHeight="1" hidden="1" thickBot="1">
      <c r="A88" s="29" t="s">
        <v>31</v>
      </c>
      <c r="B88" s="49"/>
      <c r="C88" s="50"/>
      <c r="D88" s="51"/>
      <c r="E88" s="1" t="e">
        <f>D88/D86*100</f>
        <v>#DIV/0!</v>
      </c>
      <c r="F88" s="1"/>
      <c r="G88" s="1" t="e">
        <f t="shared" si="8"/>
        <v>#DIV/0!</v>
      </c>
      <c r="H88" s="1"/>
      <c r="I88" s="1">
        <f t="shared" si="9"/>
        <v>0</v>
      </c>
    </row>
    <row r="89" spans="1:9" ht="19.5" thickBot="1">
      <c r="A89" s="14" t="s">
        <v>10</v>
      </c>
      <c r="B89" s="61">
        <v>28943.3</v>
      </c>
      <c r="C89" s="53">
        <f>47925.9+539.6+110+168.6+27</f>
        <v>48771.1</v>
      </c>
      <c r="D89" s="54">
        <f>1173.8+37.3+101.8+9.7+15.1+2.5+6.1+25.2+161.9+1262.3+173.1+14.9+67.5+0.1+74.5+11.5+2+20+14.7+81.5+461.2+565+206.1+3.2+46+0.8+6.5+50.6+455+1286.2+183.8+1.4+2.9+4.4+5+70+1+29.9+1080.9+235.9+65.5+15.2+11.7+17.8+127.4+5.9+235.8+346.5+449.1+1232.7+152.1+18.3-0.1+74.1+126.4+78.5+135.2+24.8+185.4+336.2+271.3+833.9+12.9+76.3+32.5+2.3+24.2+2+23.7+1.7+1736.3+422.6+102.3+0.1+79.9+12.7+384.6+272+560.3+6.6+23.5+71.3+3.1+55.7+12.1+9.9+24.6+1303.7+813.1+11.6+0.3+74.3+27.7+86+28.9+58.7+133.8+815+170.1+337.9+7+277+5.2+80.3+19.2+7.4+16.9+0.9+357.9+1273.6+494.4+32.3-0.2+18.3+264.8+18.3+95.4+35</f>
        <v>23512.999999999996</v>
      </c>
      <c r="E89" s="3">
        <f>D89/D144*100</f>
        <v>4.989929099416797</v>
      </c>
      <c r="F89" s="3">
        <f aca="true" t="shared" si="10" ref="F89:F95">D89/B89*100</f>
        <v>81.23814492473214</v>
      </c>
      <c r="G89" s="3">
        <f t="shared" si="8"/>
        <v>48.21092819313076</v>
      </c>
      <c r="H89" s="3">
        <f aca="true" t="shared" si="11" ref="H89:H95">B89-D89</f>
        <v>5430.300000000003</v>
      </c>
      <c r="I89" s="3">
        <f t="shared" si="9"/>
        <v>25258.100000000002</v>
      </c>
    </row>
    <row r="90" spans="1:9" ht="18">
      <c r="A90" s="29" t="s">
        <v>3</v>
      </c>
      <c r="B90" s="49">
        <v>23506.7</v>
      </c>
      <c r="C90" s="50">
        <v>39638</v>
      </c>
      <c r="D90" s="51">
        <f>1167.3+36.1+0.8+0.4+161.9+1233.6+154.1+3-0.1+4.3+0.5+8.4+3.9+81.5+433.3+525.7+205+5.2+9.3+444.2+1273.5+170.1+45.1+1046.6+229.9+0.1+3.7+172.5+333.2+439.7+1159+4.9+64+21.3+13.4+112.1+148.4+247.6+806.2+6.7+4.6+6.9+1720.2+419.3+0.1+72.1+370.4+270.6+554.6+17+6.3+54.5+1180.5+765.4-0.1+74.3+0.2+12.7+11.6+58.4+89.3+743.1+91.1+294.4+70.5+19.1+279.2+1235.5+481.1+0.1+12.2+242.6+18.3+3.7</f>
        <v>19956.199999999997</v>
      </c>
      <c r="E90" s="1">
        <f>D90/D89*100</f>
        <v>84.87304895164377</v>
      </c>
      <c r="F90" s="1">
        <f t="shared" si="10"/>
        <v>84.89579566676734</v>
      </c>
      <c r="G90" s="1">
        <f t="shared" si="8"/>
        <v>50.346132499117004</v>
      </c>
      <c r="H90" s="1">
        <f t="shared" si="11"/>
        <v>3550.5000000000036</v>
      </c>
      <c r="I90" s="1">
        <f t="shared" si="9"/>
        <v>19681.800000000003</v>
      </c>
    </row>
    <row r="91" spans="1:9" ht="18">
      <c r="A91" s="29" t="s">
        <v>33</v>
      </c>
      <c r="B91" s="49">
        <v>1385.5</v>
      </c>
      <c r="C91" s="50">
        <f>2406.5+168.6</f>
        <v>2575.1</v>
      </c>
      <c r="D91" s="51">
        <f>15.4+0.6+1.6+3.7+2.5+4.3+0.4+4.2+0.8+56.6+102.4+16.1+0.1+47.1+38.8+64+59.3+87.7+34.7+0.6+1.8+42.3+4.4+28.7+17.2+4.1-0.1+9.5+0.7+0.1+0.5+30+263.7+3+9.9+2.9+6.4+6.5+8.4</f>
        <v>980.8999999999999</v>
      </c>
      <c r="E91" s="1">
        <f>D91/D89*100</f>
        <v>4.171734785012546</v>
      </c>
      <c r="F91" s="1">
        <f t="shared" si="10"/>
        <v>70.79754601226993</v>
      </c>
      <c r="G91" s="1">
        <f t="shared" si="8"/>
        <v>38.09172459321968</v>
      </c>
      <c r="H91" s="1">
        <f t="shared" si="11"/>
        <v>404.60000000000014</v>
      </c>
      <c r="I91" s="1">
        <f t="shared" si="9"/>
        <v>1594.2</v>
      </c>
    </row>
    <row r="92" spans="1:9" ht="18" hidden="1">
      <c r="A92" s="29" t="s">
        <v>15</v>
      </c>
      <c r="B92" s="49"/>
      <c r="C92" s="50"/>
      <c r="D92" s="50"/>
      <c r="E92" s="12">
        <f>D92/D89*100</f>
        <v>0</v>
      </c>
      <c r="F92" s="1"/>
      <c r="G92" s="1" t="e">
        <f t="shared" si="8"/>
        <v>#DIV/0!</v>
      </c>
      <c r="H92" s="1">
        <f t="shared" si="11"/>
        <v>0</v>
      </c>
      <c r="I92" s="1">
        <f t="shared" si="9"/>
        <v>0</v>
      </c>
    </row>
    <row r="93" spans="1:9" ht="18.75" thickBot="1">
      <c r="A93" s="29" t="s">
        <v>35</v>
      </c>
      <c r="B93" s="50">
        <f>B89-B90-B91-B92</f>
        <v>4051.0999999999985</v>
      </c>
      <c r="C93" s="50">
        <f>C89-C90-C91-C92</f>
        <v>6557.999999999998</v>
      </c>
      <c r="D93" s="50">
        <f>D89-D90-D91-D92</f>
        <v>2575.8999999999996</v>
      </c>
      <c r="E93" s="1">
        <f>D93/D89*100</f>
        <v>10.955216263343683</v>
      </c>
      <c r="F93" s="1">
        <f t="shared" si="10"/>
        <v>63.585199081730906</v>
      </c>
      <c r="G93" s="1">
        <f>D93/C93*100</f>
        <v>39.27874351936567</v>
      </c>
      <c r="H93" s="1">
        <f t="shared" si="11"/>
        <v>1475.199999999999</v>
      </c>
      <c r="I93" s="1">
        <f>C93-D93</f>
        <v>3982.0999999999985</v>
      </c>
    </row>
    <row r="94" spans="1:9" ht="18.75">
      <c r="A94" s="122" t="s">
        <v>12</v>
      </c>
      <c r="B94" s="127">
        <v>31335.6</v>
      </c>
      <c r="C94" s="129">
        <f>48638.3+1900-424+424</f>
        <v>50538.3</v>
      </c>
      <c r="D94" s="128">
        <f>3479.6+8.1+4.1+53.2+1101.8+1997.1+228.6+3048.1+0.1+314.6+1021.4+1907+2.5+299.7+94.1+2183.5+8+2623.6+342.3+2.2+8.5+1.3+1.6+10.6+34.2+57.7+70.3+17.2+208.3+74.7+207.6+2728.6+200.9+23.9+266.8+7.4+4.8+52.9+119.5+63.8+2594.9+200.2+13+112.1+15.7+7.1+24.4+5.9+58.8+58.7+72.9+1005+1411.4+197.5</f>
        <v>28657.800000000007</v>
      </c>
      <c r="E94" s="121">
        <f>D94/D144*100</f>
        <v>6.081758607802779</v>
      </c>
      <c r="F94" s="125">
        <f t="shared" si="10"/>
        <v>91.45444797610388</v>
      </c>
      <c r="G94" s="120">
        <f>D94/C94*100</f>
        <v>56.705112756068175</v>
      </c>
      <c r="H94" s="126">
        <f t="shared" si="11"/>
        <v>2677.799999999992</v>
      </c>
      <c r="I94" s="121">
        <f>C94-D94</f>
        <v>21880.499999999996</v>
      </c>
    </row>
    <row r="95" spans="1:9" ht="18.75" thickBot="1">
      <c r="A95" s="123" t="s">
        <v>110</v>
      </c>
      <c r="B95" s="130">
        <v>2819</v>
      </c>
      <c r="C95" s="131">
        <f>4853.7+35</f>
        <v>4888.7</v>
      </c>
      <c r="D95" s="132">
        <f>600+69+9+48.5+2.5+299.7+50.5+190.4+1.3+10.6+6.7+53.3-0.1+0.9+266.8+7.4+4.8+52.9+0.1+200.2+15.7+7.1+5.9+55+13+150.2</f>
        <v>2121.4</v>
      </c>
      <c r="E95" s="133">
        <f>D95/D94*100</f>
        <v>7.402522175463572</v>
      </c>
      <c r="F95" s="134">
        <f t="shared" si="10"/>
        <v>75.25363604114935</v>
      </c>
      <c r="G95" s="135">
        <f>D95/C95*100</f>
        <v>43.39394931167796</v>
      </c>
      <c r="H95" s="124">
        <f t="shared" si="11"/>
        <v>697.5999999999999</v>
      </c>
      <c r="I95" s="96">
        <f>C95-D95</f>
        <v>2767.2999999999997</v>
      </c>
    </row>
    <row r="96" spans="1:9" ht="8.25" customHeight="1" thickBot="1">
      <c r="A96" s="23"/>
      <c r="B96" s="58"/>
      <c r="C96" s="67"/>
      <c r="D96" s="68"/>
      <c r="E96" s="6"/>
      <c r="F96" s="6"/>
      <c r="G96" s="6"/>
      <c r="H96" s="6"/>
      <c r="I96" s="6"/>
    </row>
    <row r="97" spans="1:9" ht="19.5" hidden="1" thickBot="1">
      <c r="A97" s="33" t="s">
        <v>46</v>
      </c>
      <c r="B97" s="75"/>
      <c r="C97" s="76"/>
      <c r="D97" s="77"/>
      <c r="E97" s="3">
        <f>D97/D144*100</f>
        <v>0</v>
      </c>
      <c r="F97" s="3"/>
      <c r="G97" s="3" t="e">
        <f>D97/C97*100</f>
        <v>#DIV/0!</v>
      </c>
      <c r="H97" s="3"/>
      <c r="I97" s="3">
        <f>C97-D97</f>
        <v>0</v>
      </c>
    </row>
    <row r="98" spans="1:9" ht="5.25" customHeight="1" hidden="1" thickBot="1">
      <c r="A98" s="32"/>
      <c r="B98" s="72"/>
      <c r="C98" s="73"/>
      <c r="D98" s="74"/>
      <c r="E98" s="15"/>
      <c r="F98" s="6"/>
      <c r="G98" s="6"/>
      <c r="H98" s="6"/>
      <c r="I98" s="13"/>
    </row>
    <row r="99" spans="1:9" s="16" customFormat="1" ht="36" customHeight="1" hidden="1" thickBot="1">
      <c r="A99" s="14" t="s">
        <v>66</v>
      </c>
      <c r="B99" s="61"/>
      <c r="C99" s="53"/>
      <c r="D99" s="54"/>
      <c r="E99" s="3">
        <f>D99/D144*100</f>
        <v>0</v>
      </c>
      <c r="F99" s="3" t="e">
        <f>D99/B99*100</f>
        <v>#DIV/0!</v>
      </c>
      <c r="G99" s="3" t="e">
        <f>D99/C99*100</f>
        <v>#DIV/0!</v>
      </c>
      <c r="H99" s="3">
        <f>B99-D99</f>
        <v>0</v>
      </c>
      <c r="I99" s="3">
        <f>C99-D99</f>
        <v>0</v>
      </c>
    </row>
    <row r="100" spans="1:9" ht="6.75" customHeight="1" hidden="1" thickBot="1">
      <c r="A100" s="113"/>
      <c r="B100" s="114"/>
      <c r="C100" s="73"/>
      <c r="D100" s="74"/>
      <c r="E100" s="15"/>
      <c r="F100" s="6"/>
      <c r="G100" s="6"/>
      <c r="H100" s="6"/>
      <c r="I100" s="13"/>
    </row>
    <row r="101" spans="1:9" s="44" customFormat="1" ht="19.5" thickBot="1">
      <c r="A101" s="14" t="s">
        <v>11</v>
      </c>
      <c r="B101" s="61">
        <v>5430.1</v>
      </c>
      <c r="C101" s="104">
        <f>6061.2+4589.8-16.4-3.1+0.1-234</f>
        <v>10397.6</v>
      </c>
      <c r="D101" s="90">
        <f>110.5+80.7+66.2+55.7+33+106.8+21.7+2.2+3.9+0.4+5.9+27.7+127.6+1.1+13.8+50.2+3.3+23.2+111+21.4+3.2+5.8+132.8+36.6+20.9+0.1+13.6+84.8+20.8+33.6+130.7+63.1+21.1+62.1+181.2+8.2+6+105.4+20.4+101.6+1.7+242.6+23+30.4-0.1+80.9+25.5+113.7+80.5+28.5+103.6+8.6+2.8+40.3+26.6+27.8+148.5+16.2+40.1</f>
        <v>2959.4999999999995</v>
      </c>
      <c r="E101" s="25">
        <f>D101/D144*100</f>
        <v>0.6280651201345643</v>
      </c>
      <c r="F101" s="25">
        <f>D101/B101*100</f>
        <v>54.5017587153091</v>
      </c>
      <c r="G101" s="25">
        <f aca="true" t="shared" si="12" ref="G101:G142">D101/C101*100</f>
        <v>28.463299222897586</v>
      </c>
      <c r="H101" s="25">
        <f aca="true" t="shared" si="13" ref="H101:H106">B101-D101</f>
        <v>2470.600000000001</v>
      </c>
      <c r="I101" s="25">
        <f aca="true" t="shared" si="14" ref="I101:I142">C101-D101</f>
        <v>7438.1</v>
      </c>
    </row>
    <row r="102" spans="1:9" ht="18" hidden="1">
      <c r="A102" s="91" t="s">
        <v>64</v>
      </c>
      <c r="B102" s="101"/>
      <c r="C102" s="99"/>
      <c r="D102" s="99"/>
      <c r="E102" s="95">
        <f>D102/D101*100</f>
        <v>0</v>
      </c>
      <c r="F102" s="116" t="e">
        <f>D102/B102*100</f>
        <v>#DIV/0!</v>
      </c>
      <c r="G102" s="95" t="e">
        <f>D102/C102*100</f>
        <v>#DIV/0!</v>
      </c>
      <c r="H102" s="95">
        <f t="shared" si="13"/>
        <v>0</v>
      </c>
      <c r="I102" s="95">
        <f t="shared" si="14"/>
        <v>0</v>
      </c>
    </row>
    <row r="103" spans="1:9" ht="18">
      <c r="A103" s="97" t="s">
        <v>63</v>
      </c>
      <c r="B103" s="81">
        <v>4891</v>
      </c>
      <c r="C103" s="51">
        <f>5036.9+4586-16.4-3.1+0.1-234</f>
        <v>9369.5</v>
      </c>
      <c r="D103" s="51">
        <f>110.3+80.7+66.2+32.9+19.7+106.6+21.7+3.9+5.8+27.6+127.6+1.1+0.1+13.7+10.7+3.3+110.8+21.4+3.1+2+132.8+20.9+0.1+78+20.6+33.3+130.5+62.7+21+24.6+165.3+8.1+5.9+105.3+20.3+100.8+1.7+215.8+10+30.4+80.1+25.4+112.7+79.8+28.5+103.5+8.5+2.8+39.9+26.4+148.5-0.1+39.8</f>
        <v>2653.1000000000004</v>
      </c>
      <c r="E103" s="1">
        <f>D103/D101*100</f>
        <v>89.64689981415782</v>
      </c>
      <c r="F103" s="1">
        <f aca="true" t="shared" si="15" ref="F103:F142">D103/B103*100</f>
        <v>54.24453077080352</v>
      </c>
      <c r="G103" s="1">
        <f t="shared" si="12"/>
        <v>28.31634558941246</v>
      </c>
      <c r="H103" s="1">
        <f t="shared" si="13"/>
        <v>2237.8999999999996</v>
      </c>
      <c r="I103" s="1">
        <f t="shared" si="14"/>
        <v>6716.4</v>
      </c>
    </row>
    <row r="104" spans="1:9" ht="54.75" hidden="1" thickBot="1">
      <c r="A104" s="98" t="s">
        <v>101</v>
      </c>
      <c r="B104" s="100"/>
      <c r="C104" s="100"/>
      <c r="D104" s="100"/>
      <c r="E104" s="96">
        <f>D104/D101*100</f>
        <v>0</v>
      </c>
      <c r="F104" s="96" t="e">
        <f>D104/B104*100</f>
        <v>#DIV/0!</v>
      </c>
      <c r="G104" s="96" t="e">
        <f>D104/C104*100</f>
        <v>#DIV/0!</v>
      </c>
      <c r="H104" s="96">
        <f t="shared" si="13"/>
        <v>0</v>
      </c>
      <c r="I104" s="96">
        <f>C104-D104</f>
        <v>0</v>
      </c>
    </row>
    <row r="105" spans="1:9" ht="18.75" thickBot="1">
      <c r="A105" s="98" t="s">
        <v>35</v>
      </c>
      <c r="B105" s="100">
        <f>B101-B102-B103</f>
        <v>539.1000000000004</v>
      </c>
      <c r="C105" s="100">
        <f>C101-C102-C103</f>
        <v>1028.1000000000004</v>
      </c>
      <c r="D105" s="100">
        <f>D101-D102-D103</f>
        <v>306.3999999999992</v>
      </c>
      <c r="E105" s="96">
        <f>D105/D101*100</f>
        <v>10.353100185842177</v>
      </c>
      <c r="F105" s="96">
        <f t="shared" si="15"/>
        <v>56.835466518271005</v>
      </c>
      <c r="G105" s="96">
        <f t="shared" si="12"/>
        <v>29.802548390234325</v>
      </c>
      <c r="H105" s="96">
        <f>B105-D105</f>
        <v>232.70000000000118</v>
      </c>
      <c r="I105" s="96">
        <f t="shared" si="14"/>
        <v>721.7000000000012</v>
      </c>
    </row>
    <row r="106" spans="1:9" s="2" customFormat="1" ht="26.25" customHeight="1" thickBot="1">
      <c r="A106" s="92" t="s">
        <v>36</v>
      </c>
      <c r="B106" s="93">
        <f>SUM(B107:B141)-B114-B118+B142-B134-B135-B108-B111-B121-B122-B132</f>
        <v>96716.1</v>
      </c>
      <c r="C106" s="93">
        <f>SUM(C107:C141)-C114-C118+C142-C134-C135-C108-C111-C121-C122-C132</f>
        <v>149819.9</v>
      </c>
      <c r="D106" s="93">
        <f>SUM(D107:D141)-D114-D118+D142-D134-D135-D108-D111-D121-D122-D132</f>
        <v>70564.7</v>
      </c>
      <c r="E106" s="94">
        <f>D106/D144*100</f>
        <v>14.975241352512079</v>
      </c>
      <c r="F106" s="94">
        <f>D106/B106*100</f>
        <v>72.96065494783184</v>
      </c>
      <c r="G106" s="94">
        <f t="shared" si="12"/>
        <v>47.09968435434812</v>
      </c>
      <c r="H106" s="94">
        <f t="shared" si="13"/>
        <v>26151.40000000001</v>
      </c>
      <c r="I106" s="94">
        <f t="shared" si="14"/>
        <v>79255.2</v>
      </c>
    </row>
    <row r="107" spans="1:9" ht="37.5">
      <c r="A107" s="34" t="s">
        <v>67</v>
      </c>
      <c r="B107" s="78">
        <v>1136.5</v>
      </c>
      <c r="C107" s="74">
        <f>1662.5+137.3</f>
        <v>1799.8</v>
      </c>
      <c r="D107" s="79">
        <f>114.2+9+1.8-0.1+90.7+22.4+38.1+76.9+3.3+8.3+1.4+33.8+39+2.5+0.1+67.3+0.2+4+0.9+2.5+0.8+0.4+3.1+0.1+83.9+1.4+0.8+11.2+0.6+1.6+3.2+0.1+20.5+2.5+1.1+0.8+0.1+0.1+0.2+0.1+43.5</f>
        <v>692.4000000000002</v>
      </c>
      <c r="E107" s="6">
        <f>D107/D106*100</f>
        <v>0.9812271574880929</v>
      </c>
      <c r="F107" s="6">
        <f t="shared" si="15"/>
        <v>60.92388913330402</v>
      </c>
      <c r="G107" s="6">
        <f t="shared" si="12"/>
        <v>38.470941215690644</v>
      </c>
      <c r="H107" s="6">
        <f aca="true" t="shared" si="16" ref="H107:H142">B107-D107</f>
        <v>444.0999999999998</v>
      </c>
      <c r="I107" s="6">
        <f t="shared" si="14"/>
        <v>1107.3999999999996</v>
      </c>
    </row>
    <row r="108" spans="1:9" ht="18">
      <c r="A108" s="29" t="s">
        <v>33</v>
      </c>
      <c r="B108" s="81">
        <v>475</v>
      </c>
      <c r="C108" s="51">
        <v>823.7</v>
      </c>
      <c r="D108" s="82">
        <f>96.8+90.7+64.1+48.5+58.1+15.9+13.5</f>
        <v>387.6</v>
      </c>
      <c r="E108" s="1"/>
      <c r="F108" s="1">
        <f t="shared" si="15"/>
        <v>81.60000000000001</v>
      </c>
      <c r="G108" s="1">
        <f t="shared" si="12"/>
        <v>47.055966978268785</v>
      </c>
      <c r="H108" s="1">
        <f t="shared" si="16"/>
        <v>87.39999999999998</v>
      </c>
      <c r="I108" s="1">
        <f t="shared" si="14"/>
        <v>436.1</v>
      </c>
    </row>
    <row r="109" spans="1:9" ht="34.5" customHeight="1">
      <c r="A109" s="17" t="s">
        <v>100</v>
      </c>
      <c r="B109" s="80">
        <v>514.1</v>
      </c>
      <c r="C109" s="68">
        <v>903.8</v>
      </c>
      <c r="D109" s="79">
        <f>20.7+31.6+0.1+27.7-0.1+31.4+0.1+10.6+34.1+43.9</f>
        <v>200.1</v>
      </c>
      <c r="E109" s="6">
        <f>D109/D106*100</f>
        <v>0.28356954681306656</v>
      </c>
      <c r="F109" s="6">
        <f>D109/B109*100</f>
        <v>38.92238864034234</v>
      </c>
      <c r="G109" s="6">
        <f t="shared" si="12"/>
        <v>22.139853949988936</v>
      </c>
      <c r="H109" s="6">
        <f t="shared" si="16"/>
        <v>314</v>
      </c>
      <c r="I109" s="6">
        <f t="shared" si="14"/>
        <v>703.6999999999999</v>
      </c>
    </row>
    <row r="110" spans="1:9" s="44" customFormat="1" ht="34.5" customHeight="1">
      <c r="A110" s="17" t="s">
        <v>75</v>
      </c>
      <c r="B110" s="80">
        <v>56.9</v>
      </c>
      <c r="C110" s="60">
        <f>71.8+12.8</f>
        <v>84.6</v>
      </c>
      <c r="D110" s="83">
        <f>5.3+5.3+0.5+1.7+6+6</f>
        <v>24.799999999999997</v>
      </c>
      <c r="E110" s="6">
        <f>D110/D106*100</f>
        <v>0.03514505127918066</v>
      </c>
      <c r="F110" s="6">
        <f t="shared" si="15"/>
        <v>43.58523725834797</v>
      </c>
      <c r="G110" s="6">
        <f t="shared" si="12"/>
        <v>29.314420803782504</v>
      </c>
      <c r="H110" s="6">
        <f t="shared" si="16"/>
        <v>32.1</v>
      </c>
      <c r="I110" s="6">
        <f t="shared" si="14"/>
        <v>59.8</v>
      </c>
    </row>
    <row r="111" spans="1:9" ht="18" hidden="1">
      <c r="A111" s="29" t="s">
        <v>33</v>
      </c>
      <c r="B111" s="81"/>
      <c r="C111" s="51"/>
      <c r="D111" s="82"/>
      <c r="E111" s="1"/>
      <c r="F111" s="1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ht="37.5">
      <c r="A112" s="17" t="s">
        <v>74</v>
      </c>
      <c r="B112" s="80">
        <v>39.2</v>
      </c>
      <c r="C112" s="68">
        <v>67.4</v>
      </c>
      <c r="D112" s="79">
        <f>5.5+5.4+5.5+5.5+5.5+5.5-0.1</f>
        <v>32.8</v>
      </c>
      <c r="E112" s="6">
        <f>D112/D106*100</f>
        <v>0.046482164595045394</v>
      </c>
      <c r="F112" s="6">
        <f t="shared" si="15"/>
        <v>83.67346938775509</v>
      </c>
      <c r="G112" s="6">
        <f t="shared" si="12"/>
        <v>48.664688427299694</v>
      </c>
      <c r="H112" s="6">
        <f t="shared" si="16"/>
        <v>6.400000000000006</v>
      </c>
      <c r="I112" s="6">
        <f t="shared" si="14"/>
        <v>34.60000000000001</v>
      </c>
    </row>
    <row r="113" spans="1:9" ht="37.5">
      <c r="A113" s="17" t="s">
        <v>47</v>
      </c>
      <c r="B113" s="80">
        <v>917.6</v>
      </c>
      <c r="C113" s="68">
        <v>1532.5</v>
      </c>
      <c r="D113" s="79">
        <f>96.4+0.6+6.3+86+10.4+21.5+5.3+0.1+11.6+102.1+10.6+3.5+5.6+100.7+13.3+0.9+3.6+96.9-0.1+15.7+1.7+1+96.8+0.1</f>
        <v>690.6000000000001</v>
      </c>
      <c r="E113" s="6">
        <f>D113/D106*100</f>
        <v>0.9786763069920231</v>
      </c>
      <c r="F113" s="6">
        <f t="shared" si="15"/>
        <v>75.26155187445511</v>
      </c>
      <c r="G113" s="6">
        <f t="shared" si="12"/>
        <v>45.0636215334421</v>
      </c>
      <c r="H113" s="6">
        <f t="shared" si="16"/>
        <v>226.9999999999999</v>
      </c>
      <c r="I113" s="6">
        <f t="shared" si="14"/>
        <v>841.8999999999999</v>
      </c>
    </row>
    <row r="114" spans="1:9" ht="18" hidden="1">
      <c r="A114" s="40" t="s">
        <v>54</v>
      </c>
      <c r="B114" s="81"/>
      <c r="C114" s="51"/>
      <c r="D114" s="82"/>
      <c r="E114" s="6"/>
      <c r="F114" s="6" t="e">
        <f t="shared" si="15"/>
        <v>#DIV/0!</v>
      </c>
      <c r="G114" s="1" t="e">
        <f t="shared" si="12"/>
        <v>#DIV/0!</v>
      </c>
      <c r="H114" s="1">
        <f t="shared" si="16"/>
        <v>0</v>
      </c>
      <c r="I114" s="1">
        <f t="shared" si="14"/>
        <v>0</v>
      </c>
    </row>
    <row r="115" spans="1:9" s="44" customFormat="1" ht="18.75" customHeight="1">
      <c r="A115" s="17" t="s">
        <v>60</v>
      </c>
      <c r="B115" s="80">
        <v>36</v>
      </c>
      <c r="C115" s="60">
        <v>36</v>
      </c>
      <c r="D115" s="83">
        <v>36</v>
      </c>
      <c r="E115" s="19">
        <f>D115/D106*100</f>
        <v>0.05101700992139129</v>
      </c>
      <c r="F115" s="6">
        <f t="shared" si="15"/>
        <v>100</v>
      </c>
      <c r="G115" s="19">
        <f t="shared" si="12"/>
        <v>100</v>
      </c>
      <c r="H115" s="19">
        <f t="shared" si="16"/>
        <v>0</v>
      </c>
      <c r="I115" s="19">
        <f t="shared" si="14"/>
        <v>0</v>
      </c>
    </row>
    <row r="116" spans="1:9" ht="37.5">
      <c r="A116" s="17" t="s">
        <v>59</v>
      </c>
      <c r="B116" s="80">
        <v>199.2</v>
      </c>
      <c r="C116" s="68">
        <v>245.2</v>
      </c>
      <c r="D116" s="79">
        <f>19.1+40</f>
        <v>59.1</v>
      </c>
      <c r="E116" s="6">
        <f>D116/D106*100</f>
        <v>0.0837529246209507</v>
      </c>
      <c r="F116" s="6">
        <f>D116/B116*100</f>
        <v>29.668674698795183</v>
      </c>
      <c r="G116" s="6">
        <f t="shared" si="12"/>
        <v>24.10277324632953</v>
      </c>
      <c r="H116" s="6">
        <f t="shared" si="16"/>
        <v>140.1</v>
      </c>
      <c r="I116" s="6">
        <f t="shared" si="14"/>
        <v>186.1</v>
      </c>
    </row>
    <row r="117" spans="1:9" s="2" customFormat="1" ht="18.75">
      <c r="A117" s="17" t="s">
        <v>16</v>
      </c>
      <c r="B117" s="80">
        <v>132.4</v>
      </c>
      <c r="C117" s="60">
        <f>199.6+4.8</f>
        <v>204.4</v>
      </c>
      <c r="D117" s="79">
        <f>1.6+18.3+17.8+0.8+2.2+4+0.6+16.7+3.7+3.6+16.7+3.4+1.3+16.7+2.9+0.8+16.7+0.1+0.8</f>
        <v>128.70000000000002</v>
      </c>
      <c r="E117" s="6">
        <f>D117/D106*100</f>
        <v>0.1823858104689739</v>
      </c>
      <c r="F117" s="6">
        <f t="shared" si="15"/>
        <v>97.20543806646526</v>
      </c>
      <c r="G117" s="6">
        <f t="shared" si="12"/>
        <v>62.96477495107633</v>
      </c>
      <c r="H117" s="6">
        <f t="shared" si="16"/>
        <v>3.6999999999999886</v>
      </c>
      <c r="I117" s="6">
        <f t="shared" si="14"/>
        <v>75.69999999999999</v>
      </c>
    </row>
    <row r="118" spans="1:9" s="39" customFormat="1" ht="18">
      <c r="A118" s="40" t="s">
        <v>54</v>
      </c>
      <c r="B118" s="81">
        <v>100.3</v>
      </c>
      <c r="C118" s="51">
        <v>150.8</v>
      </c>
      <c r="D118" s="82">
        <f>16.7+16.7+16.7+16.7+16.7+16.7</f>
        <v>100.2</v>
      </c>
      <c r="E118" s="1"/>
      <c r="F118" s="1">
        <f t="shared" si="15"/>
        <v>99.90029910269193</v>
      </c>
      <c r="G118" s="1">
        <f t="shared" si="12"/>
        <v>66.44562334217507</v>
      </c>
      <c r="H118" s="1">
        <f t="shared" si="16"/>
        <v>0.09999999999999432</v>
      </c>
      <c r="I118" s="1">
        <f t="shared" si="14"/>
        <v>50.60000000000001</v>
      </c>
    </row>
    <row r="119" spans="1:9" s="2" customFormat="1" ht="18.75">
      <c r="A119" s="17" t="s">
        <v>25</v>
      </c>
      <c r="B119" s="80">
        <v>964.6</v>
      </c>
      <c r="C119" s="60">
        <f>1468.8+249.6</f>
        <v>1718.3999999999999</v>
      </c>
      <c r="D119" s="79">
        <f>249.6+108.7+40</f>
        <v>398.3</v>
      </c>
      <c r="E119" s="6">
        <f>D119/D106*100</f>
        <v>0.5644465292136154</v>
      </c>
      <c r="F119" s="6">
        <f t="shared" si="15"/>
        <v>41.29172714078375</v>
      </c>
      <c r="G119" s="6">
        <f t="shared" si="12"/>
        <v>23.178538175046555</v>
      </c>
      <c r="H119" s="6">
        <f t="shared" si="16"/>
        <v>566.3</v>
      </c>
      <c r="I119" s="6">
        <f t="shared" si="14"/>
        <v>1320.1</v>
      </c>
    </row>
    <row r="120" spans="1:9" s="2" customFormat="1" ht="21.75" customHeight="1">
      <c r="A120" s="17" t="s">
        <v>45</v>
      </c>
      <c r="B120" s="80">
        <v>1241.4</v>
      </c>
      <c r="C120" s="60">
        <f>628+70+553</f>
        <v>1251</v>
      </c>
      <c r="D120" s="83">
        <f>110.6+553+71.8</f>
        <v>735.4</v>
      </c>
      <c r="E120" s="19">
        <f>D120/D106*100</f>
        <v>1.0421641415608653</v>
      </c>
      <c r="F120" s="6">
        <f t="shared" si="15"/>
        <v>59.239568229418396</v>
      </c>
      <c r="G120" s="6">
        <f t="shared" si="12"/>
        <v>58.784972022382085</v>
      </c>
      <c r="H120" s="6">
        <f t="shared" si="16"/>
        <v>506.0000000000001</v>
      </c>
      <c r="I120" s="6">
        <f t="shared" si="14"/>
        <v>515.6</v>
      </c>
    </row>
    <row r="121" spans="1:9" s="115" customFormat="1" ht="18">
      <c r="A121" s="29" t="s">
        <v>102</v>
      </c>
      <c r="B121" s="81">
        <v>70</v>
      </c>
      <c r="C121" s="51">
        <v>70</v>
      </c>
      <c r="D121" s="82"/>
      <c r="E121" s="6"/>
      <c r="F121" s="1">
        <f>D121/B121*100</f>
        <v>0</v>
      </c>
      <c r="G121" s="1">
        <f t="shared" si="12"/>
        <v>0</v>
      </c>
      <c r="H121" s="1">
        <f t="shared" si="16"/>
        <v>70</v>
      </c>
      <c r="I121" s="1">
        <f t="shared" si="14"/>
        <v>70</v>
      </c>
    </row>
    <row r="122" spans="1:9" s="115" customFormat="1" ht="18" hidden="1">
      <c r="A122" s="29" t="s">
        <v>64</v>
      </c>
      <c r="B122" s="81"/>
      <c r="C122" s="51"/>
      <c r="D122" s="82"/>
      <c r="E122" s="6"/>
      <c r="F122" s="1" t="e">
        <f>D122/B122*100</f>
        <v>#DIV/0!</v>
      </c>
      <c r="G122" s="1" t="e">
        <f t="shared" si="12"/>
        <v>#DIV/0!</v>
      </c>
      <c r="H122" s="1">
        <f t="shared" si="16"/>
        <v>0</v>
      </c>
      <c r="I122" s="1">
        <f t="shared" si="14"/>
        <v>0</v>
      </c>
    </row>
    <row r="123" spans="1:9" s="2" customFormat="1" ht="37.5">
      <c r="A123" s="17" t="s">
        <v>49</v>
      </c>
      <c r="B123" s="80">
        <v>1609.1</v>
      </c>
      <c r="C123" s="60">
        <v>2933.8</v>
      </c>
      <c r="D123" s="83">
        <f>21+0.9+174.2+5+11.4+16.5-0.1+809.5+345.2</f>
        <v>1383.6000000000001</v>
      </c>
      <c r="E123" s="19">
        <f>D123/D106*100</f>
        <v>1.9607537479788055</v>
      </c>
      <c r="F123" s="6">
        <f t="shared" si="15"/>
        <v>85.98595488161085</v>
      </c>
      <c r="G123" s="6">
        <f t="shared" si="12"/>
        <v>47.16067898288909</v>
      </c>
      <c r="H123" s="6">
        <f t="shared" si="16"/>
        <v>225.49999999999977</v>
      </c>
      <c r="I123" s="6">
        <f t="shared" si="14"/>
        <v>1550.2</v>
      </c>
    </row>
    <row r="124" spans="1:9" s="2" customFormat="1" ht="56.25">
      <c r="A124" s="17" t="s">
        <v>56</v>
      </c>
      <c r="B124" s="80">
        <v>129.9</v>
      </c>
      <c r="C124" s="60">
        <v>129.9</v>
      </c>
      <c r="D124" s="83">
        <v>129.9</v>
      </c>
      <c r="E124" s="19">
        <f>D124/D106*100</f>
        <v>0.1840863774663536</v>
      </c>
      <c r="F124" s="6">
        <f t="shared" si="15"/>
        <v>100</v>
      </c>
      <c r="G124" s="6">
        <f t="shared" si="12"/>
        <v>100</v>
      </c>
      <c r="H124" s="6">
        <f t="shared" si="16"/>
        <v>0</v>
      </c>
      <c r="I124" s="6">
        <f t="shared" si="14"/>
        <v>0</v>
      </c>
    </row>
    <row r="125" spans="1:9" s="2" customFormat="1" ht="18.75">
      <c r="A125" s="17" t="s">
        <v>98</v>
      </c>
      <c r="B125" s="80">
        <v>2</v>
      </c>
      <c r="C125" s="60">
        <v>2</v>
      </c>
      <c r="D125" s="83">
        <v>2</v>
      </c>
      <c r="E125" s="19">
        <f>D125/D106*100</f>
        <v>0.002834278328966183</v>
      </c>
      <c r="F125" s="6">
        <f t="shared" si="15"/>
        <v>100</v>
      </c>
      <c r="G125" s="6">
        <f t="shared" si="12"/>
        <v>100</v>
      </c>
      <c r="H125" s="6">
        <f t="shared" si="16"/>
        <v>0</v>
      </c>
      <c r="I125" s="6">
        <f t="shared" si="14"/>
        <v>0</v>
      </c>
    </row>
    <row r="126" spans="1:9" s="2" customFormat="1" ht="37.5">
      <c r="A126" s="17" t="s">
        <v>112</v>
      </c>
      <c r="B126" s="80">
        <v>235.3</v>
      </c>
      <c r="C126" s="60">
        <v>332.3</v>
      </c>
      <c r="D126" s="83"/>
      <c r="E126" s="19">
        <f>D126/D106*100</f>
        <v>0</v>
      </c>
      <c r="F126" s="6">
        <f t="shared" si="15"/>
        <v>0</v>
      </c>
      <c r="G126" s="6">
        <f t="shared" si="12"/>
        <v>0</v>
      </c>
      <c r="H126" s="6">
        <f t="shared" si="16"/>
        <v>235.3</v>
      </c>
      <c r="I126" s="6">
        <f t="shared" si="14"/>
        <v>332.3</v>
      </c>
    </row>
    <row r="127" spans="1:9" s="2" customFormat="1" ht="37.5">
      <c r="A127" s="17" t="s">
        <v>78</v>
      </c>
      <c r="B127" s="80">
        <v>338.4</v>
      </c>
      <c r="C127" s="60">
        <f>101.4+27.9+634</f>
        <v>763.3</v>
      </c>
      <c r="D127" s="83">
        <f>3+3+4.9+21.9-0.1+12.2+1.6+6.9+7.8+0.7+8.4+2.4+5+2.4+0.1+5.6+2.4+0.1</f>
        <v>88.3</v>
      </c>
      <c r="E127" s="19">
        <f>D127/D106*100</f>
        <v>0.12513338822385697</v>
      </c>
      <c r="F127" s="6">
        <f t="shared" si="15"/>
        <v>26.093380614657214</v>
      </c>
      <c r="G127" s="6">
        <f t="shared" si="12"/>
        <v>11.568190750687803</v>
      </c>
      <c r="H127" s="6">
        <f t="shared" si="16"/>
        <v>250.09999999999997</v>
      </c>
      <c r="I127" s="6">
        <f t="shared" si="14"/>
        <v>675</v>
      </c>
    </row>
    <row r="128" spans="1:9" s="2" customFormat="1" ht="18.75">
      <c r="A128" s="17" t="s">
        <v>72</v>
      </c>
      <c r="B128" s="80">
        <v>415.2</v>
      </c>
      <c r="C128" s="60">
        <v>650</v>
      </c>
      <c r="D128" s="83">
        <f>8.7+23.6+6.2+5.1+38.5+4.6+4.8+8.6+12.9+2.8+0.1+16.3+3+2.5+6.2-0.2+39.7+9.9+9.5</f>
        <v>202.79999999999998</v>
      </c>
      <c r="E128" s="19">
        <f>D128/D106*100</f>
        <v>0.2873958225571709</v>
      </c>
      <c r="F128" s="6">
        <f t="shared" si="15"/>
        <v>48.84393063583815</v>
      </c>
      <c r="G128" s="6">
        <f t="shared" si="12"/>
        <v>31.2</v>
      </c>
      <c r="H128" s="6">
        <f t="shared" si="16"/>
        <v>212.4</v>
      </c>
      <c r="I128" s="6">
        <f t="shared" si="14"/>
        <v>447.20000000000005</v>
      </c>
    </row>
    <row r="129" spans="1:9" s="2" customFormat="1" ht="35.25" customHeight="1">
      <c r="A129" s="17" t="s">
        <v>71</v>
      </c>
      <c r="B129" s="80">
        <v>61.5</v>
      </c>
      <c r="C129" s="60">
        <f>171.5+14.8-110</f>
        <v>76.30000000000001</v>
      </c>
      <c r="D129" s="83">
        <f>5.6+5.6+3.5+1.3+1.8+0.1+2.5+14.8</f>
        <v>35.2</v>
      </c>
      <c r="E129" s="19">
        <f>D129/D106*100</f>
        <v>0.04988329858980482</v>
      </c>
      <c r="F129" s="6">
        <f t="shared" si="15"/>
        <v>57.23577235772358</v>
      </c>
      <c r="G129" s="6">
        <f t="shared" si="12"/>
        <v>46.13368283093053</v>
      </c>
      <c r="H129" s="6">
        <f t="shared" si="16"/>
        <v>26.299999999999997</v>
      </c>
      <c r="I129" s="6">
        <f t="shared" si="14"/>
        <v>41.10000000000001</v>
      </c>
    </row>
    <row r="130" spans="1:9" s="2" customFormat="1" ht="35.25" customHeight="1">
      <c r="A130" s="17" t="s">
        <v>73</v>
      </c>
      <c r="B130" s="80">
        <v>80</v>
      </c>
      <c r="C130" s="60">
        <v>220</v>
      </c>
      <c r="D130" s="83"/>
      <c r="E130" s="19">
        <f>D130/D106*100</f>
        <v>0</v>
      </c>
      <c r="F130" s="117">
        <f t="shared" si="15"/>
        <v>0</v>
      </c>
      <c r="G130" s="6">
        <f t="shared" si="12"/>
        <v>0</v>
      </c>
      <c r="H130" s="6">
        <f t="shared" si="16"/>
        <v>80</v>
      </c>
      <c r="I130" s="6">
        <f t="shared" si="14"/>
        <v>220</v>
      </c>
    </row>
    <row r="131" spans="1:9" s="2" customFormat="1" ht="37.5">
      <c r="A131" s="17" t="s">
        <v>111</v>
      </c>
      <c r="B131" s="80">
        <v>265.1</v>
      </c>
      <c r="C131" s="60">
        <v>265.1</v>
      </c>
      <c r="D131" s="83">
        <f>59.9+7.6+10.7+6.3+5.3+38.1+4+0.1+1.7</f>
        <v>133.7</v>
      </c>
      <c r="E131" s="19">
        <f>D131/D106*100</f>
        <v>0.1894715062913893</v>
      </c>
      <c r="F131" s="6">
        <f t="shared" si="15"/>
        <v>50.43379856657864</v>
      </c>
      <c r="G131" s="6">
        <f>D131/C131*100</f>
        <v>50.43379856657864</v>
      </c>
      <c r="H131" s="6">
        <f t="shared" si="16"/>
        <v>131.40000000000003</v>
      </c>
      <c r="I131" s="6">
        <f t="shared" si="14"/>
        <v>131.40000000000003</v>
      </c>
    </row>
    <row r="132" spans="1:9" s="39" customFormat="1" ht="18">
      <c r="A132" s="29" t="s">
        <v>33</v>
      </c>
      <c r="B132" s="81">
        <v>64.2</v>
      </c>
      <c r="C132" s="51">
        <v>64.2</v>
      </c>
      <c r="D132" s="82">
        <f>7.6+0.3+4.8+38.1+4+0.1+0.1</f>
        <v>55</v>
      </c>
      <c r="E132" s="1"/>
      <c r="F132" s="1">
        <f t="shared" si="15"/>
        <v>85.66978193146417</v>
      </c>
      <c r="G132" s="1">
        <f>D132/C132*100</f>
        <v>85.66978193146417</v>
      </c>
      <c r="H132" s="1">
        <f t="shared" si="16"/>
        <v>9.200000000000003</v>
      </c>
      <c r="I132" s="1">
        <f t="shared" si="14"/>
        <v>9.200000000000003</v>
      </c>
    </row>
    <row r="133" spans="1:9" s="2" customFormat="1" ht="18.75">
      <c r="A133" s="17" t="s">
        <v>32</v>
      </c>
      <c r="B133" s="80">
        <v>581.8</v>
      </c>
      <c r="C133" s="60">
        <f>981.9+3.8</f>
        <v>985.6999999999999</v>
      </c>
      <c r="D133" s="83">
        <f>21.9+41.8+0.1+6.1+26+3.6+0.1+41-0.1+21.3+6.2+7.1+43.4+4.5+8.8+48.5+7.5+32.1+0.1+41.9+8.4+5.1+33.1+1.3+25.6+4.3+48.8+5.3</f>
        <v>493.80000000000007</v>
      </c>
      <c r="E133" s="19">
        <f>D133/D106*100</f>
        <v>0.6997833194217506</v>
      </c>
      <c r="F133" s="6">
        <f t="shared" si="15"/>
        <v>84.87452732897904</v>
      </c>
      <c r="G133" s="6">
        <f t="shared" si="12"/>
        <v>50.096378208379846</v>
      </c>
      <c r="H133" s="6">
        <f t="shared" si="16"/>
        <v>87.99999999999989</v>
      </c>
      <c r="I133" s="6">
        <f t="shared" si="14"/>
        <v>491.89999999999986</v>
      </c>
    </row>
    <row r="134" spans="1:9" s="39" customFormat="1" ht="18">
      <c r="A134" s="40" t="s">
        <v>54</v>
      </c>
      <c r="B134" s="81">
        <v>501.5</v>
      </c>
      <c r="C134" s="51">
        <v>848.7</v>
      </c>
      <c r="D134" s="82">
        <f>21.9+39.7+0.1+6.1+19+41-0.1+21.3+43.3+8.5+32.3+32.1+41.5+4.2+33.1+25.6+47+0.1</f>
        <v>416.7000000000001</v>
      </c>
      <c r="E134" s="1">
        <f>D134/D133*100</f>
        <v>84.38639125151884</v>
      </c>
      <c r="F134" s="1">
        <f aca="true" t="shared" si="17" ref="F134:F141">D134/B134*100</f>
        <v>83.09072781655037</v>
      </c>
      <c r="G134" s="1">
        <f t="shared" si="12"/>
        <v>49.09862142099683</v>
      </c>
      <c r="H134" s="1">
        <f t="shared" si="16"/>
        <v>84.7999999999999</v>
      </c>
      <c r="I134" s="1">
        <f t="shared" si="14"/>
        <v>431.99999999999994</v>
      </c>
    </row>
    <row r="135" spans="1:9" s="39" customFormat="1" ht="18">
      <c r="A135" s="29" t="s">
        <v>33</v>
      </c>
      <c r="B135" s="81">
        <v>21.8</v>
      </c>
      <c r="C135" s="51">
        <v>26.3</v>
      </c>
      <c r="D135" s="82">
        <f>7+6+0.2+7.1+0.1+0.4+0.3+0.1+0.3</f>
        <v>21.5</v>
      </c>
      <c r="E135" s="1">
        <f>D135/D133*100</f>
        <v>4.353989469420817</v>
      </c>
      <c r="F135" s="1">
        <f t="shared" si="17"/>
        <v>98.62385321100918</v>
      </c>
      <c r="G135" s="1">
        <f>D135/C135*100</f>
        <v>81.74904942965779</v>
      </c>
      <c r="H135" s="1">
        <f t="shared" si="16"/>
        <v>0.3000000000000007</v>
      </c>
      <c r="I135" s="1">
        <f t="shared" si="14"/>
        <v>4.800000000000001</v>
      </c>
    </row>
    <row r="136" spans="1:9" s="2" customFormat="1" ht="56.25">
      <c r="A136" s="23" t="s">
        <v>113</v>
      </c>
      <c r="B136" s="80">
        <v>200</v>
      </c>
      <c r="C136" s="60">
        <v>200</v>
      </c>
      <c r="D136" s="83">
        <v>200</v>
      </c>
      <c r="E136" s="19">
        <f>D136/D106*100</f>
        <v>0.28342783289661827</v>
      </c>
      <c r="F136" s="112">
        <f t="shared" si="17"/>
        <v>100</v>
      </c>
      <c r="G136" s="6">
        <f t="shared" si="12"/>
        <v>100</v>
      </c>
      <c r="H136" s="6">
        <f t="shared" si="16"/>
        <v>0</v>
      </c>
      <c r="I136" s="6">
        <f t="shared" si="14"/>
        <v>0</v>
      </c>
    </row>
    <row r="137" spans="1:9" s="2" customFormat="1" ht="18.75">
      <c r="A137" s="23" t="s">
        <v>109</v>
      </c>
      <c r="B137" s="80">
        <v>2200</v>
      </c>
      <c r="C137" s="60">
        <f>6500-2076-424</f>
        <v>4000</v>
      </c>
      <c r="D137" s="83">
        <f>241.3+64.6</f>
        <v>305.9</v>
      </c>
      <c r="E137" s="19">
        <f>D137/D106*100</f>
        <v>0.43350287041537766</v>
      </c>
      <c r="F137" s="112">
        <f t="shared" si="17"/>
        <v>13.904545454545453</v>
      </c>
      <c r="G137" s="6">
        <f t="shared" si="12"/>
        <v>7.647499999999999</v>
      </c>
      <c r="H137" s="6">
        <f t="shared" si="16"/>
        <v>1894.1</v>
      </c>
      <c r="I137" s="6">
        <f t="shared" si="14"/>
        <v>3694.1</v>
      </c>
    </row>
    <row r="138" spans="1:9" s="2" customFormat="1" ht="18.75">
      <c r="A138" s="23" t="s">
        <v>117</v>
      </c>
      <c r="B138" s="80">
        <v>2727.5</v>
      </c>
      <c r="C138" s="60">
        <f>6082.6-959.5</f>
        <v>5123.1</v>
      </c>
      <c r="D138" s="83">
        <f>626.1+43.8+40.3+236+112.9+11.4-0.1+68.6+570.3+22.4+44.4+39.9+585.7+199.1</f>
        <v>2600.8</v>
      </c>
      <c r="E138" s="19">
        <f>D138/D106*100</f>
        <v>3.6856955389876247</v>
      </c>
      <c r="F138" s="112">
        <f t="shared" si="17"/>
        <v>95.35472043996334</v>
      </c>
      <c r="G138" s="6">
        <f t="shared" si="12"/>
        <v>50.766137690070465</v>
      </c>
      <c r="H138" s="6">
        <f t="shared" si="16"/>
        <v>126.69999999999982</v>
      </c>
      <c r="I138" s="6">
        <f t="shared" si="14"/>
        <v>2522.3</v>
      </c>
    </row>
    <row r="139" spans="1:9" s="2" customFormat="1" ht="18.75">
      <c r="A139" s="17" t="s">
        <v>27</v>
      </c>
      <c r="B139" s="80">
        <v>4188</v>
      </c>
      <c r="C139" s="60">
        <v>8376</v>
      </c>
      <c r="D139" s="83">
        <f>2094+2094</f>
        <v>4188</v>
      </c>
      <c r="E139" s="19">
        <f>D139/D106*100</f>
        <v>5.9349788208551875</v>
      </c>
      <c r="F139" s="112">
        <f t="shared" si="17"/>
        <v>100</v>
      </c>
      <c r="G139" s="6">
        <f t="shared" si="12"/>
        <v>50</v>
      </c>
      <c r="H139" s="6">
        <f t="shared" si="16"/>
        <v>0</v>
      </c>
      <c r="I139" s="6">
        <f t="shared" si="14"/>
        <v>4188</v>
      </c>
    </row>
    <row r="140" spans="1:12" s="2" customFormat="1" ht="18.75" customHeight="1">
      <c r="A140" s="17" t="s">
        <v>99</v>
      </c>
      <c r="B140" s="80">
        <v>538.2</v>
      </c>
      <c r="C140" s="60">
        <v>538.2</v>
      </c>
      <c r="D140" s="83">
        <f>507.8+15.4+15</f>
        <v>538.2</v>
      </c>
      <c r="E140" s="19">
        <f>D140/D106*100</f>
        <v>0.7627042983247999</v>
      </c>
      <c r="F140" s="112">
        <f t="shared" si="17"/>
        <v>100</v>
      </c>
      <c r="G140" s="6">
        <f t="shared" si="12"/>
        <v>100</v>
      </c>
      <c r="H140" s="6">
        <f t="shared" si="16"/>
        <v>0</v>
      </c>
      <c r="I140" s="6">
        <f t="shared" si="14"/>
        <v>0</v>
      </c>
      <c r="K140" s="45"/>
      <c r="L140" s="45"/>
    </row>
    <row r="141" spans="1:12" s="2" customFormat="1" ht="19.5" customHeight="1">
      <c r="A141" s="17" t="s">
        <v>65</v>
      </c>
      <c r="B141" s="80">
        <v>64919.1</v>
      </c>
      <c r="C141" s="60">
        <f>91632.1+2530-27+23.1+959.5</f>
        <v>95117.70000000001</v>
      </c>
      <c r="D141" s="83">
        <f>500.9+20883.8+13804+7506.8+2189.4+1247.6</f>
        <v>46132.5</v>
      </c>
      <c r="E141" s="19">
        <f>D141/D106*100</f>
        <v>65.37617250551622</v>
      </c>
      <c r="F141" s="6">
        <f t="shared" si="17"/>
        <v>71.06152118559869</v>
      </c>
      <c r="G141" s="6">
        <f t="shared" si="12"/>
        <v>48.50043682721512</v>
      </c>
      <c r="H141" s="6">
        <f t="shared" si="16"/>
        <v>18786.6</v>
      </c>
      <c r="I141" s="6">
        <f t="shared" si="14"/>
        <v>48985.20000000001</v>
      </c>
      <c r="K141" s="103"/>
      <c r="L141" s="45"/>
    </row>
    <row r="142" spans="1:12" s="2" customFormat="1" ht="18.75">
      <c r="A142" s="17" t="s">
        <v>103</v>
      </c>
      <c r="B142" s="80">
        <v>12987.1</v>
      </c>
      <c r="C142" s="60">
        <v>22263.4</v>
      </c>
      <c r="D142" s="83">
        <f>1236.9+618.4+618.4+618.4+618.5+618.4+618.4+618.5+618.4+618.4+618.5+618.4+618.4+618.5+618.4+618.4+618.5</f>
        <v>11131.799999999997</v>
      </c>
      <c r="E142" s="19">
        <f>D142/D106*100</f>
        <v>15.775309751192873</v>
      </c>
      <c r="F142" s="6">
        <f t="shared" si="15"/>
        <v>85.7142857142857</v>
      </c>
      <c r="G142" s="6">
        <f t="shared" si="12"/>
        <v>50.00044916769225</v>
      </c>
      <c r="H142" s="6">
        <f t="shared" si="16"/>
        <v>1855.300000000003</v>
      </c>
      <c r="I142" s="6">
        <f t="shared" si="14"/>
        <v>11131.600000000004</v>
      </c>
      <c r="K142" s="45"/>
      <c r="L142" s="45"/>
    </row>
    <row r="143" spans="1:12" s="2" customFormat="1" ht="19.5" thickBot="1">
      <c r="A143" s="41" t="s">
        <v>37</v>
      </c>
      <c r="B143" s="84">
        <f>B43+B68+B71+B76+B78+B86+B101+B106+B99+B83+B97</f>
        <v>102993.8</v>
      </c>
      <c r="C143" s="84">
        <f>C43+C68+C71+C76+C78+C86+C101+C106+C99+C83+C97</f>
        <v>161942.9</v>
      </c>
      <c r="D143" s="60">
        <f>D43+D68+D71+D76+D78+D86+D101+D106+D99+D83+D97</f>
        <v>74177</v>
      </c>
      <c r="E143" s="19"/>
      <c r="F143" s="19"/>
      <c r="G143" s="6"/>
      <c r="H143" s="6"/>
      <c r="I143" s="20"/>
      <c r="K143" s="45"/>
      <c r="L143" s="45"/>
    </row>
    <row r="144" spans="1:12" ht="19.5" thickBot="1">
      <c r="A144" s="14" t="s">
        <v>19</v>
      </c>
      <c r="B144" s="54">
        <f>B6+B18+B33+B43+B51+B58+B68+B71+B76+B78+B86+B89+B94+B101+B106+B99+B83+B97+B45</f>
        <v>554485.3999999999</v>
      </c>
      <c r="C144" s="54">
        <f>C6+C18+C33+C43+C51+C58+C68+C71+C76+C78+C86+C89+C94+C101+C106+C99+C83+C97+C45</f>
        <v>896182.6000000001</v>
      </c>
      <c r="D144" s="54">
        <f>D6+D18+D33+D43+D51+D58+D68+D71+D76+D78+D86+D89+D94+D101+D106+D99+D83+D97+D45</f>
        <v>471209.10000000003</v>
      </c>
      <c r="E144" s="38">
        <v>100</v>
      </c>
      <c r="F144" s="3">
        <f>D144/B144*100</f>
        <v>84.98133584761656</v>
      </c>
      <c r="G144" s="3">
        <f aca="true" t="shared" si="18" ref="G144:G150">D144/C144*100</f>
        <v>52.57958590135537</v>
      </c>
      <c r="H144" s="3">
        <f aca="true" t="shared" si="19" ref="H144:H150">B144-D144</f>
        <v>83276.29999999987</v>
      </c>
      <c r="I144" s="3">
        <f aca="true" t="shared" si="20" ref="I144:I150">C144-D144</f>
        <v>424973.50000000006</v>
      </c>
      <c r="K144" s="46"/>
      <c r="L144" s="47"/>
    </row>
    <row r="145" spans="1:12" ht="18.75">
      <c r="A145" s="23" t="s">
        <v>5</v>
      </c>
      <c r="B145" s="67">
        <f>B8+B20+B34+B52+B59+B90+B114+B118+B46+B134</f>
        <v>311057.6</v>
      </c>
      <c r="C145" s="67">
        <f>C8+C20+C34+C52+C59+C90+C114+C118+C46+C134</f>
        <v>507335.6</v>
      </c>
      <c r="D145" s="67">
        <f>D8+D20+D34+D52+D59+D90+D114+D118+D46+D134</f>
        <v>281639.19999999995</v>
      </c>
      <c r="E145" s="6">
        <f>D145/D144*100</f>
        <v>59.769473891739345</v>
      </c>
      <c r="F145" s="6">
        <f aca="true" t="shared" si="21" ref="F145:F156">D145/B145*100</f>
        <v>90.54245901723668</v>
      </c>
      <c r="G145" s="6">
        <f t="shared" si="18"/>
        <v>55.51339192439876</v>
      </c>
      <c r="H145" s="6">
        <f t="shared" si="19"/>
        <v>29418.400000000023</v>
      </c>
      <c r="I145" s="18">
        <f t="shared" si="20"/>
        <v>225696.40000000002</v>
      </c>
      <c r="K145" s="46"/>
      <c r="L145" s="47"/>
    </row>
    <row r="146" spans="1:12" ht="18.75">
      <c r="A146" s="23" t="s">
        <v>0</v>
      </c>
      <c r="B146" s="68">
        <f>B11+B23+B36+B55+B61+B91+B49+B135+B108+B111+B95+B132</f>
        <v>64522.50000000001</v>
      </c>
      <c r="C146" s="68">
        <f>C11+C23+C36+C55+C61+C91+C49+C135+C108+C111+C95+C132</f>
        <v>99365.7</v>
      </c>
      <c r="D146" s="68">
        <f>D11+D23+D36+D55+D61+D91+D49+D135+D108+D111+D95+D132</f>
        <v>54690.000000000015</v>
      </c>
      <c r="E146" s="6">
        <f>D146/D144*100</f>
        <v>11.60631235687087</v>
      </c>
      <c r="F146" s="6">
        <f t="shared" si="21"/>
        <v>84.76112983842847</v>
      </c>
      <c r="G146" s="6">
        <f t="shared" si="18"/>
        <v>55.039113094357525</v>
      </c>
      <c r="H146" s="6">
        <f t="shared" si="19"/>
        <v>9832.499999999993</v>
      </c>
      <c r="I146" s="18">
        <f t="shared" si="20"/>
        <v>44675.69999999998</v>
      </c>
      <c r="K146" s="46"/>
      <c r="L146" s="102"/>
    </row>
    <row r="147" spans="1:12" ht="18.75">
      <c r="A147" s="23" t="s">
        <v>1</v>
      </c>
      <c r="B147" s="67">
        <f>B22+B10+B54+B48+B60+B35+B102+B122</f>
        <v>14343.900000000001</v>
      </c>
      <c r="C147" s="67">
        <f>C22+C10+C54+C48+C60+C35+C102+C122</f>
        <v>25986.7</v>
      </c>
      <c r="D147" s="67">
        <f>D22+D10+D54+D48+D60+D35+D102+D122</f>
        <v>11512.9</v>
      </c>
      <c r="E147" s="6">
        <f>D147/D144*100</f>
        <v>2.443267755227987</v>
      </c>
      <c r="F147" s="6">
        <f t="shared" si="21"/>
        <v>80.2633872238373</v>
      </c>
      <c r="G147" s="6">
        <f t="shared" si="18"/>
        <v>44.30304732805627</v>
      </c>
      <c r="H147" s="6">
        <f t="shared" si="19"/>
        <v>2831.000000000002</v>
      </c>
      <c r="I147" s="18">
        <f t="shared" si="20"/>
        <v>14473.800000000001</v>
      </c>
      <c r="K147" s="46"/>
      <c r="L147" s="47"/>
    </row>
    <row r="148" spans="1:12" ht="21" customHeight="1">
      <c r="A148" s="23" t="s">
        <v>15</v>
      </c>
      <c r="B148" s="67">
        <f>B12+B24+B103+B62+B38+B92</f>
        <v>8135</v>
      </c>
      <c r="C148" s="67">
        <f>C12+C24+C103+C62+C38+C92</f>
        <v>14369.800000000001</v>
      </c>
      <c r="D148" s="67">
        <f>D12+D24+D103+D62+D38+D92</f>
        <v>3878.2000000000003</v>
      </c>
      <c r="E148" s="6">
        <f>D148/D144*100</f>
        <v>0.8230316434890583</v>
      </c>
      <c r="F148" s="6">
        <f t="shared" si="21"/>
        <v>47.67301782421635</v>
      </c>
      <c r="G148" s="6">
        <f t="shared" si="18"/>
        <v>26.98854542164818</v>
      </c>
      <c r="H148" s="6">
        <f t="shared" si="19"/>
        <v>4256.799999999999</v>
      </c>
      <c r="I148" s="18">
        <f t="shared" si="20"/>
        <v>10491.6</v>
      </c>
      <c r="K148" s="46"/>
      <c r="L148" s="102"/>
    </row>
    <row r="149" spans="1:12" ht="18.75">
      <c r="A149" s="23" t="s">
        <v>2</v>
      </c>
      <c r="B149" s="67">
        <f>B9+B21+B47+B53+B121</f>
        <v>6865.9</v>
      </c>
      <c r="C149" s="67">
        <f>C9+C21+C47+C53+C121</f>
        <v>12818.7</v>
      </c>
      <c r="D149" s="67">
        <f>D9+D21+D47+D53+D121</f>
        <v>3954.7999999999997</v>
      </c>
      <c r="E149" s="6">
        <f>D149/D144*100</f>
        <v>0.8392876962690236</v>
      </c>
      <c r="F149" s="6">
        <f t="shared" si="21"/>
        <v>57.600605892890954</v>
      </c>
      <c r="G149" s="6">
        <f t="shared" si="18"/>
        <v>30.8518024448657</v>
      </c>
      <c r="H149" s="6">
        <f t="shared" si="19"/>
        <v>2911.1</v>
      </c>
      <c r="I149" s="18">
        <f t="shared" si="20"/>
        <v>8863.900000000001</v>
      </c>
      <c r="K149" s="46"/>
      <c r="L149" s="47"/>
    </row>
    <row r="150" spans="1:12" ht="19.5" thickBot="1">
      <c r="A150" s="23" t="s">
        <v>35</v>
      </c>
      <c r="B150" s="67">
        <f>B144-B145-B146-B147-B148-B149</f>
        <v>149560.49999999994</v>
      </c>
      <c r="C150" s="67">
        <f>C144-C145-C146-C147-C148-C149</f>
        <v>236306.1000000001</v>
      </c>
      <c r="D150" s="67">
        <f>D144-D145-D146-D147-D148-D149</f>
        <v>115534.00000000009</v>
      </c>
      <c r="E150" s="6">
        <f>D150/D144*100</f>
        <v>24.518626656403725</v>
      </c>
      <c r="F150" s="6">
        <f t="shared" si="21"/>
        <v>77.24900625499389</v>
      </c>
      <c r="G150" s="43">
        <f t="shared" si="18"/>
        <v>48.89167059166058</v>
      </c>
      <c r="H150" s="6">
        <f t="shared" si="19"/>
        <v>34026.499999999854</v>
      </c>
      <c r="I150" s="6">
        <f t="shared" si="20"/>
        <v>120772.1</v>
      </c>
      <c r="K150" s="46"/>
      <c r="L150" s="102"/>
    </row>
    <row r="151" spans="1:12" ht="5.25" customHeight="1" thickBot="1">
      <c r="A151" s="35"/>
      <c r="B151" s="85"/>
      <c r="C151" s="86"/>
      <c r="D151" s="86"/>
      <c r="E151" s="21"/>
      <c r="F151" s="21"/>
      <c r="G151" s="21"/>
      <c r="H151" s="21"/>
      <c r="I151" s="22"/>
      <c r="K151" s="46"/>
      <c r="L151" s="46"/>
    </row>
    <row r="152" spans="1:12" ht="18.75">
      <c r="A152" s="32" t="s">
        <v>21</v>
      </c>
      <c r="B152" s="87">
        <v>12969.7</v>
      </c>
      <c r="C152" s="73">
        <f>3301.9+496+14356.4</f>
        <v>18154.3</v>
      </c>
      <c r="D152" s="73">
        <f>288.1+1522.4+951.8+530.2+8.8+0.5+0.1+495.9+10.6+101+174.6+2.1+509.4+15+8.4</f>
        <v>4618.9</v>
      </c>
      <c r="E152" s="15"/>
      <c r="F152" s="6">
        <f t="shared" si="21"/>
        <v>35.61300569789586</v>
      </c>
      <c r="G152" s="6">
        <f aca="true" t="shared" si="22" ref="G152:G161">D152/C152*100</f>
        <v>25.44245715891001</v>
      </c>
      <c r="H152" s="6">
        <f>B152-D152</f>
        <v>8350.800000000001</v>
      </c>
      <c r="I152" s="6">
        <f aca="true" t="shared" si="23" ref="I152:I161">C152-D152</f>
        <v>13535.4</v>
      </c>
      <c r="K152" s="46"/>
      <c r="L152" s="46"/>
    </row>
    <row r="153" spans="1:12" ht="18.75">
      <c r="A153" s="23" t="s">
        <v>22</v>
      </c>
      <c r="B153" s="88">
        <v>10210.3</v>
      </c>
      <c r="C153" s="67">
        <f>16860.5</f>
        <v>16860.5</v>
      </c>
      <c r="D153" s="67">
        <f>132.1+649.5+498.6+2.9+146.5+119.3</f>
        <v>1548.9</v>
      </c>
      <c r="E153" s="6"/>
      <c r="F153" s="6">
        <f t="shared" si="21"/>
        <v>15.169975416980893</v>
      </c>
      <c r="G153" s="6">
        <f t="shared" si="22"/>
        <v>9.186560303668339</v>
      </c>
      <c r="H153" s="6">
        <f aca="true" t="shared" si="24" ref="H153:H160">B153-D153</f>
        <v>8661.4</v>
      </c>
      <c r="I153" s="6">
        <f t="shared" si="23"/>
        <v>15311.6</v>
      </c>
      <c r="K153" s="46"/>
      <c r="L153" s="46"/>
    </row>
    <row r="154" spans="1:12" ht="18.75">
      <c r="A154" s="23" t="s">
        <v>61</v>
      </c>
      <c r="B154" s="88">
        <v>103951</v>
      </c>
      <c r="C154" s="67">
        <f>105956.2+2530+90940.5+959.5</f>
        <v>200386.2</v>
      </c>
      <c r="D154" s="67">
        <f>72+2507+500.9+784.3+577.6+1236.9+2501.8+375+180.7+310.2-4.2+554.9+23.5+182.4+693.6-182.4+595+297.2+620.2+157.1-0.3+15.6+883.3+9.6+10.4+12-13.2+225+914.2+6+75.1+258.4+29.4+440.2+179+162.3+38+25.2+582.5+76.9+1043.4+165.8</f>
        <v>17122.500000000004</v>
      </c>
      <c r="E154" s="6"/>
      <c r="F154" s="6">
        <f t="shared" si="21"/>
        <v>16.471703013920024</v>
      </c>
      <c r="G154" s="6">
        <f t="shared" si="22"/>
        <v>8.544750087580882</v>
      </c>
      <c r="H154" s="6">
        <f t="shared" si="24"/>
        <v>86828.5</v>
      </c>
      <c r="I154" s="6">
        <f t="shared" si="23"/>
        <v>183263.7</v>
      </c>
      <c r="K154" s="46"/>
      <c r="L154" s="46"/>
    </row>
    <row r="155" spans="1:12" ht="37.5">
      <c r="A155" s="23" t="s">
        <v>70</v>
      </c>
      <c r="B155" s="88">
        <v>309.4</v>
      </c>
      <c r="C155" s="67">
        <v>509.4</v>
      </c>
      <c r="D155" s="67">
        <f>309.4</f>
        <v>309.4</v>
      </c>
      <c r="E155" s="6"/>
      <c r="F155" s="6">
        <f t="shared" si="21"/>
        <v>100</v>
      </c>
      <c r="G155" s="6">
        <f t="shared" si="22"/>
        <v>60.73812328229289</v>
      </c>
      <c r="H155" s="6">
        <f t="shared" si="24"/>
        <v>0</v>
      </c>
      <c r="I155" s="6">
        <f t="shared" si="23"/>
        <v>200</v>
      </c>
      <c r="K155" s="46"/>
      <c r="L155" s="46"/>
    </row>
    <row r="156" spans="1:12" ht="18.75">
      <c r="A156" s="23" t="s">
        <v>13</v>
      </c>
      <c r="B156" s="88">
        <v>10733.5</v>
      </c>
      <c r="C156" s="67">
        <f>54+13623.4</f>
        <v>13677.4</v>
      </c>
      <c r="D156" s="67">
        <f>5.2+5.1+225.1+114.9+40.2+5.2+4.6+89.9</f>
        <v>490.20000000000005</v>
      </c>
      <c r="E156" s="19"/>
      <c r="F156" s="6">
        <f t="shared" si="21"/>
        <v>4.567009829039923</v>
      </c>
      <c r="G156" s="6">
        <f t="shared" si="22"/>
        <v>3.584014505680905</v>
      </c>
      <c r="H156" s="6">
        <f t="shared" si="24"/>
        <v>10243.3</v>
      </c>
      <c r="I156" s="6">
        <f t="shared" si="23"/>
        <v>13187.199999999999</v>
      </c>
      <c r="K156" s="46"/>
      <c r="L156" s="46"/>
    </row>
    <row r="157" spans="1:12" ht="18.75" hidden="1">
      <c r="A157" s="23" t="s">
        <v>26</v>
      </c>
      <c r="B157" s="88"/>
      <c r="C157" s="67"/>
      <c r="D157" s="67"/>
      <c r="E157" s="19"/>
      <c r="F157" s="6" t="e">
        <f>D157/B157*100</f>
        <v>#DIV/0!</v>
      </c>
      <c r="G157" s="6" t="e">
        <f t="shared" si="22"/>
        <v>#DIV/0!</v>
      </c>
      <c r="H157" s="6">
        <f t="shared" si="24"/>
        <v>0</v>
      </c>
      <c r="I157" s="6">
        <f t="shared" si="23"/>
        <v>0</v>
      </c>
      <c r="K157" s="46"/>
      <c r="L157" s="46"/>
    </row>
    <row r="158" spans="1:9" ht="18.75">
      <c r="A158" s="23" t="s">
        <v>53</v>
      </c>
      <c r="B158" s="88">
        <v>826.6</v>
      </c>
      <c r="C158" s="67">
        <f>1212+158.6</f>
        <v>1370.6</v>
      </c>
      <c r="D158" s="67">
        <f>15.4+25.9+416.9+18.7</f>
        <v>476.9</v>
      </c>
      <c r="E158" s="19"/>
      <c r="F158" s="6">
        <f>D158/B158*100</f>
        <v>57.69416888458746</v>
      </c>
      <c r="G158" s="6">
        <f t="shared" si="22"/>
        <v>34.794980300598276</v>
      </c>
      <c r="H158" s="6">
        <f t="shared" si="24"/>
        <v>349.70000000000005</v>
      </c>
      <c r="I158" s="6">
        <f t="shared" si="23"/>
        <v>893.6999999999999</v>
      </c>
    </row>
    <row r="159" spans="1:9" ht="19.5" customHeight="1">
      <c r="A159" s="23" t="s">
        <v>68</v>
      </c>
      <c r="B159" s="88">
        <v>307.6</v>
      </c>
      <c r="C159" s="67">
        <v>307.6</v>
      </c>
      <c r="D159" s="67"/>
      <c r="E159" s="19"/>
      <c r="F159" s="6">
        <f>D159/B159*100</f>
        <v>0</v>
      </c>
      <c r="G159" s="6">
        <f t="shared" si="22"/>
        <v>0</v>
      </c>
      <c r="H159" s="6">
        <f t="shared" si="24"/>
        <v>307.6</v>
      </c>
      <c r="I159" s="6">
        <f t="shared" si="23"/>
        <v>307.6</v>
      </c>
    </row>
    <row r="160" spans="1:9" ht="19.5" thickBot="1">
      <c r="A160" s="23" t="s">
        <v>62</v>
      </c>
      <c r="B160" s="88">
        <v>3718.8</v>
      </c>
      <c r="C160" s="89">
        <v>3718.8</v>
      </c>
      <c r="D160" s="89">
        <f>98.8+11.3+146.1+110.9-0.1+10.1+85.3+20.5+418+104.6+257.6+46.9+315.7+1.5+1.4</f>
        <v>1628.6000000000004</v>
      </c>
      <c r="E160" s="24"/>
      <c r="F160" s="6">
        <f>D160/B160*100</f>
        <v>43.793696891470375</v>
      </c>
      <c r="G160" s="6">
        <f t="shared" si="22"/>
        <v>43.793696891470375</v>
      </c>
      <c r="H160" s="6">
        <f t="shared" si="24"/>
        <v>2090.2</v>
      </c>
      <c r="I160" s="6">
        <f t="shared" si="23"/>
        <v>2090.2</v>
      </c>
    </row>
    <row r="161" spans="1:9" ht="19.5" thickBot="1">
      <c r="A161" s="14" t="s">
        <v>20</v>
      </c>
      <c r="B161" s="90">
        <f>B144+B152+B156+B157+B153+B160+B159+B154+B158+B155</f>
        <v>697512.2999999999</v>
      </c>
      <c r="C161" s="90">
        <f>C144+C152+C156+C157+C153+C160+C159+C154+C158+C155</f>
        <v>1151167.4000000001</v>
      </c>
      <c r="D161" s="90">
        <f>D144+D152+D156+D157+D153+D160+D159+D154+D158+D155</f>
        <v>497404.5000000001</v>
      </c>
      <c r="E161" s="25"/>
      <c r="F161" s="3">
        <f>D161/B161*100</f>
        <v>71.311215587166</v>
      </c>
      <c r="G161" s="3">
        <f t="shared" si="22"/>
        <v>43.20870274818415</v>
      </c>
      <c r="H161" s="3">
        <f>B161-D161</f>
        <v>200107.7999999998</v>
      </c>
      <c r="I161" s="3">
        <f t="shared" si="23"/>
        <v>653762.9</v>
      </c>
    </row>
    <row r="162" spans="7:8" ht="12.75">
      <c r="G162" s="26"/>
      <c r="H162" s="26"/>
    </row>
    <row r="163" spans="7:9" ht="12.75">
      <c r="G163" s="26"/>
      <c r="H163" s="26"/>
      <c r="I163" s="26"/>
    </row>
    <row r="164" spans="7:8" ht="12.75">
      <c r="G164" s="26"/>
      <c r="H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  <row r="394" spans="7:8" ht="12.75">
      <c r="G394" s="26"/>
      <c r="H394" s="26"/>
    </row>
    <row r="395" spans="7:8" ht="12.75">
      <c r="G395" s="26"/>
      <c r="H395" s="26"/>
    </row>
    <row r="396" spans="7:8" ht="12.75">
      <c r="G396" s="26"/>
      <c r="H396" s="26"/>
    </row>
    <row r="397" spans="7:8" ht="12.75">
      <c r="G397" s="26"/>
      <c r="H397" s="26"/>
    </row>
    <row r="398" spans="7:8" ht="12.75">
      <c r="G398" s="26"/>
      <c r="H398" s="26"/>
    </row>
    <row r="399" spans="7:8" ht="12.75">
      <c r="G399" s="26"/>
      <c r="H399" s="26"/>
    </row>
    <row r="400" spans="7:8" ht="12.75">
      <c r="G400" s="26"/>
      <c r="H400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printOptions/>
  <pageMargins left="0.61" right="0.16" top="0.37" bottom="0.42" header="0.17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R22" sqref="R22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фінансування'!C144</f>
        <v>896182.6000000001</v>
      </c>
    </row>
    <row r="2" spans="1:5" ht="15.75">
      <c r="A2" s="4"/>
      <c r="B2" s="4"/>
      <c r="C2" s="4"/>
      <c r="D2" s="4" t="s">
        <v>39</v>
      </c>
      <c r="E2" s="5">
        <f>'аналіз фінансування'!D144</f>
        <v>471209.10000000003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0" sqref="S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9" sqref="R1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0" sqref="R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3" sqref="R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Q23" sqref="Q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R20" sqref="R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18" sqref="Q18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фінансування'!C144</f>
        <v>896182.6000000001</v>
      </c>
    </row>
    <row r="2" spans="1:5" ht="15.75">
      <c r="A2" s="4"/>
      <c r="B2" s="4"/>
      <c r="C2" s="4"/>
      <c r="D2" s="4" t="s">
        <v>39</v>
      </c>
      <c r="E2" s="5">
        <f>'аналіз фінансування'!D144</f>
        <v>471209.10000000003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2015-06-30T11:31:16Z</cp:lastPrinted>
  <dcterms:created xsi:type="dcterms:W3CDTF">2000-06-20T04:48:00Z</dcterms:created>
  <dcterms:modified xsi:type="dcterms:W3CDTF">2015-07-08T05:07:08Z</dcterms:modified>
  <cp:category/>
  <cp:version/>
  <cp:contentType/>
  <cp:contentStatus/>
</cp:coreProperties>
</file>